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830" windowWidth="20730" windowHeight="9930" activeTab="1"/>
  </bookViews>
  <sheets>
    <sheet name="Nieruchomości wspólne budynków" sheetId="1" r:id="rId1"/>
    <sheet name="Tereny" sheetId="6" r:id="rId2"/>
    <sheet name="Lokale mieszkalne" sheetId="7" r:id="rId3"/>
  </sheets>
  <definedNames>
    <definedName name="_xlnm.Print_Area" localSheetId="1">Tereny!$A$1:$W$95</definedName>
  </definedNames>
  <calcPr calcId="145621"/>
</workbook>
</file>

<file path=xl/calcChain.xml><?xml version="1.0" encoding="utf-8"?>
<calcChain xmlns="http://schemas.openxmlformats.org/spreadsheetml/2006/main">
  <c r="H10" i="7" l="1"/>
  <c r="I91" i="6" l="1"/>
  <c r="U93" i="6"/>
  <c r="Y54" i="1"/>
  <c r="W54" i="1"/>
  <c r="J64" i="1"/>
  <c r="J19" i="1" l="1"/>
  <c r="Q26" i="6"/>
  <c r="U8" i="1" l="1"/>
  <c r="U7" i="1"/>
  <c r="E30" i="1" s="1"/>
  <c r="K26" i="6" l="1"/>
  <c r="E19" i="1"/>
  <c r="F32" i="1"/>
  <c r="H9" i="7"/>
  <c r="H8" i="7"/>
  <c r="E54" i="1" l="1"/>
  <c r="N66" i="1"/>
  <c r="M66" i="1"/>
  <c r="J66" i="1"/>
  <c r="J87" i="6" l="1"/>
  <c r="K87" i="6"/>
  <c r="J90" i="6"/>
  <c r="K90" i="6"/>
  <c r="J86" i="6"/>
  <c r="K86" i="6"/>
  <c r="J56" i="1" l="1"/>
  <c r="J62" i="1"/>
  <c r="V54" i="1"/>
  <c r="S74" i="6"/>
  <c r="I75" i="6"/>
  <c r="J57" i="1"/>
  <c r="V93" i="6" l="1"/>
  <c r="F43" i="1" l="1"/>
  <c r="N74" i="6" l="1"/>
  <c r="M74" i="6"/>
  <c r="N93" i="6"/>
  <c r="M93" i="6"/>
  <c r="Q54" i="1"/>
  <c r="P54" i="1"/>
  <c r="N81" i="6" l="1"/>
  <c r="M81" i="6"/>
  <c r="I81" i="6" l="1"/>
  <c r="L74" i="6" l="1"/>
  <c r="L93" i="6" l="1"/>
  <c r="L94" i="6" s="1"/>
  <c r="D91" i="6"/>
  <c r="D89" i="6"/>
  <c r="D88" i="6"/>
  <c r="D74" i="6" s="1"/>
  <c r="K85" i="6"/>
  <c r="J85" i="6"/>
  <c r="K84" i="6"/>
  <c r="J84" i="6"/>
  <c r="I83" i="6"/>
  <c r="K83" i="6" s="1"/>
  <c r="I82" i="6"/>
  <c r="K82" i="6" s="1"/>
  <c r="K81" i="6"/>
  <c r="I80" i="6"/>
  <c r="K80" i="6" s="1"/>
  <c r="D79" i="6"/>
  <c r="I79" i="6" s="1"/>
  <c r="K78" i="6"/>
  <c r="J78" i="6"/>
  <c r="K77" i="6"/>
  <c r="J77" i="6"/>
  <c r="I76" i="6"/>
  <c r="K76" i="6" s="1"/>
  <c r="K75" i="6"/>
  <c r="J75" i="6"/>
  <c r="N94" i="6"/>
  <c r="M94" i="6"/>
  <c r="E63" i="6"/>
  <c r="D63" i="6"/>
  <c r="P60" i="6"/>
  <c r="P62" i="6" s="1"/>
  <c r="I52" i="6"/>
  <c r="H52" i="6"/>
  <c r="F52" i="6"/>
  <c r="M51" i="6"/>
  <c r="Q51" i="6" s="1"/>
  <c r="L51" i="6"/>
  <c r="K51" i="6"/>
  <c r="L26" i="6"/>
  <c r="E13" i="6"/>
  <c r="E93" i="6" s="1"/>
  <c r="D13" i="6"/>
  <c r="P10" i="6"/>
  <c r="P12" i="6" s="1"/>
  <c r="Q11" i="6" s="1"/>
  <c r="D50" i="6" s="1"/>
  <c r="Q60" i="6" l="1"/>
  <c r="Q61" i="6"/>
  <c r="I92" i="6" s="1"/>
  <c r="J51" i="6"/>
  <c r="N51" i="6" s="1"/>
  <c r="E27" i="6"/>
  <c r="E30" i="6"/>
  <c r="G32" i="6"/>
  <c r="E35" i="6"/>
  <c r="E38" i="6"/>
  <c r="G40" i="6"/>
  <c r="E43" i="6"/>
  <c r="E46" i="6"/>
  <c r="G48" i="6"/>
  <c r="G75" i="6"/>
  <c r="E81" i="6"/>
  <c r="G82" i="6"/>
  <c r="E83" i="6"/>
  <c r="J88" i="6"/>
  <c r="K88" i="6"/>
  <c r="G89" i="6"/>
  <c r="G93" i="6"/>
  <c r="K52" i="6"/>
  <c r="E28" i="6"/>
  <c r="G30" i="6"/>
  <c r="E33" i="6"/>
  <c r="E36" i="6"/>
  <c r="G38" i="6"/>
  <c r="E41" i="6"/>
  <c r="E44" i="6"/>
  <c r="G46" i="6"/>
  <c r="E49" i="6"/>
  <c r="J76" i="6"/>
  <c r="E78" i="6"/>
  <c r="G81" i="6"/>
  <c r="G88" i="6"/>
  <c r="E90" i="6"/>
  <c r="G28" i="6"/>
  <c r="E31" i="6"/>
  <c r="E34" i="6"/>
  <c r="G36" i="6"/>
  <c r="E39" i="6"/>
  <c r="E42" i="6"/>
  <c r="G44" i="6"/>
  <c r="E47" i="6"/>
  <c r="G51" i="6"/>
  <c r="P51" i="6" s="1"/>
  <c r="H93" i="6" s="1"/>
  <c r="K93" i="6" s="1"/>
  <c r="P93" i="6" s="1"/>
  <c r="M52" i="6"/>
  <c r="G78" i="6"/>
  <c r="G80" i="6"/>
  <c r="J82" i="6"/>
  <c r="J83" i="6"/>
  <c r="J89" i="6"/>
  <c r="K89" i="6"/>
  <c r="G90" i="6"/>
  <c r="E29" i="6"/>
  <c r="E32" i="6"/>
  <c r="G34" i="6"/>
  <c r="E37" i="6"/>
  <c r="E40" i="6"/>
  <c r="G42" i="6"/>
  <c r="E45" i="6"/>
  <c r="E48" i="6"/>
  <c r="E75" i="6"/>
  <c r="E76" i="6"/>
  <c r="E82" i="6"/>
  <c r="E89" i="6"/>
  <c r="K92" i="6"/>
  <c r="J92" i="6"/>
  <c r="D26" i="6"/>
  <c r="G50" i="6"/>
  <c r="E50" i="6"/>
  <c r="Q52" i="6"/>
  <c r="I74" i="6"/>
  <c r="L52" i="6"/>
  <c r="J79" i="6"/>
  <c r="J91" i="6"/>
  <c r="D94" i="6"/>
  <c r="E74" i="6"/>
  <c r="E94" i="6" s="1"/>
  <c r="E79" i="6"/>
  <c r="K79" i="6"/>
  <c r="J80" i="6"/>
  <c r="E91" i="6"/>
  <c r="K91" i="6"/>
  <c r="Q10" i="6"/>
  <c r="J26" i="6"/>
  <c r="G27" i="6"/>
  <c r="G29" i="6"/>
  <c r="G31" i="6"/>
  <c r="G33" i="6"/>
  <c r="G35" i="6"/>
  <c r="G37" i="6"/>
  <c r="G39" i="6"/>
  <c r="G41" i="6"/>
  <c r="G43" i="6"/>
  <c r="G45" i="6"/>
  <c r="G47" i="6"/>
  <c r="G49" i="6"/>
  <c r="E51" i="6"/>
  <c r="O51" i="6" s="1"/>
  <c r="F93" i="6" s="1"/>
  <c r="J93" i="6" s="1"/>
  <c r="O93" i="6" s="1"/>
  <c r="G76" i="6"/>
  <c r="G79" i="6"/>
  <c r="E80" i="6"/>
  <c r="J81" i="6"/>
  <c r="G83" i="6"/>
  <c r="E84" i="6"/>
  <c r="E85" i="6"/>
  <c r="E86" i="6"/>
  <c r="E87" i="6"/>
  <c r="G91" i="6"/>
  <c r="E92" i="6"/>
  <c r="G74" i="6"/>
  <c r="G84" i="6"/>
  <c r="G85" i="6"/>
  <c r="G86" i="6"/>
  <c r="G87" i="6"/>
  <c r="E88" i="6"/>
  <c r="G92" i="6"/>
  <c r="R93" i="6" l="1"/>
  <c r="Q93" i="6"/>
  <c r="T93" i="6"/>
  <c r="G94" i="6"/>
  <c r="V74" i="6"/>
  <c r="V94" i="6" s="1"/>
  <c r="I94" i="6"/>
  <c r="S94" i="6"/>
  <c r="G26" i="6"/>
  <c r="D52" i="6"/>
  <c r="E26" i="6"/>
  <c r="N26" i="6"/>
  <c r="N52" i="6" s="1"/>
  <c r="J52" i="6"/>
  <c r="E52" i="6" l="1"/>
  <c r="O26" i="6"/>
  <c r="G52" i="6"/>
  <c r="P26" i="6"/>
  <c r="H74" i="6" l="1"/>
  <c r="P52" i="6"/>
  <c r="O52" i="6"/>
  <c r="F74" i="6"/>
  <c r="F94" i="6" l="1"/>
  <c r="J74" i="6"/>
  <c r="H94" i="6"/>
  <c r="K74" i="6"/>
  <c r="K94" i="6" l="1"/>
  <c r="P74" i="6"/>
  <c r="U74" i="6" s="1"/>
  <c r="O74" i="6"/>
  <c r="T74" i="6" s="1"/>
  <c r="J94" i="6"/>
  <c r="Q74" i="6" l="1"/>
  <c r="T94" i="6"/>
  <c r="R74" i="6"/>
  <c r="R94" i="6" s="1"/>
  <c r="U94" i="6"/>
  <c r="P94" i="6"/>
  <c r="O94" i="6"/>
  <c r="Q94" i="6"/>
  <c r="K62" i="1" l="1"/>
  <c r="J59" i="1" l="1"/>
  <c r="J58" i="1"/>
  <c r="N55" i="1" l="1"/>
  <c r="N60" i="1"/>
  <c r="N61" i="1"/>
  <c r="J55" i="1"/>
  <c r="J54" i="1" s="1"/>
  <c r="O54" i="1" l="1"/>
  <c r="F61" i="1"/>
  <c r="M61" i="1" s="1"/>
  <c r="F60" i="1"/>
  <c r="M60" i="1" s="1"/>
  <c r="F55" i="1"/>
  <c r="N10" i="1"/>
  <c r="M10" i="1"/>
  <c r="E43" i="1"/>
  <c r="F27" i="1"/>
  <c r="F26" i="1"/>
  <c r="F25" i="1"/>
  <c r="F21" i="1"/>
  <c r="F20" i="1"/>
  <c r="E9" i="1"/>
  <c r="F22" i="1" l="1"/>
  <c r="H59" i="1"/>
  <c r="F59" i="1"/>
  <c r="H65" i="1"/>
  <c r="H64" i="1"/>
  <c r="F64" i="1"/>
  <c r="F65" i="1"/>
  <c r="K55" i="1"/>
  <c r="K65" i="1"/>
  <c r="L65" i="1"/>
  <c r="K64" i="1"/>
  <c r="L58" i="1"/>
  <c r="K58" i="1"/>
  <c r="K57" i="1"/>
  <c r="L64" i="1"/>
  <c r="L59" i="1"/>
  <c r="L57" i="1"/>
  <c r="L63" i="1"/>
  <c r="K63" i="1"/>
  <c r="K59" i="1"/>
  <c r="N56" i="1"/>
  <c r="H58" i="1"/>
  <c r="N62" i="1"/>
  <c r="F63" i="1"/>
  <c r="F57" i="1"/>
  <c r="H63" i="1"/>
  <c r="H57" i="1"/>
  <c r="M56" i="1"/>
  <c r="F58" i="1"/>
  <c r="M62" i="1"/>
  <c r="H30" i="1"/>
  <c r="H22" i="1"/>
  <c r="H24" i="1"/>
  <c r="H29" i="1"/>
  <c r="H23" i="1"/>
  <c r="H28" i="1"/>
  <c r="F30" i="1"/>
  <c r="F24" i="1"/>
  <c r="F29" i="1"/>
  <c r="F23" i="1"/>
  <c r="F28" i="1"/>
  <c r="H54" i="1" l="1"/>
  <c r="F54" i="1"/>
  <c r="L54" i="1"/>
  <c r="M55" i="1"/>
  <c r="K54" i="1"/>
  <c r="M63" i="1"/>
  <c r="N63" i="1"/>
  <c r="N59" i="1"/>
  <c r="M57" i="1"/>
  <c r="F19" i="1"/>
  <c r="N19" i="1" s="1"/>
  <c r="M19" i="1" s="1"/>
  <c r="H19" i="1"/>
  <c r="O19" i="1" s="1"/>
  <c r="I54" i="1" s="1"/>
  <c r="M65" i="1"/>
  <c r="M58" i="1"/>
  <c r="N58" i="1"/>
  <c r="N65" i="1"/>
  <c r="M59" i="1"/>
  <c r="M64" i="1"/>
  <c r="N57" i="1"/>
  <c r="N64" i="1"/>
  <c r="M54" i="1" l="1"/>
  <c r="R54" i="1" l="1"/>
  <c r="X54" i="1" s="1"/>
  <c r="N54" i="1"/>
  <c r="T54" i="1" l="1"/>
  <c r="S54" i="1" l="1"/>
  <c r="U54" i="1" s="1"/>
</calcChain>
</file>

<file path=xl/comments1.xml><?xml version="1.0" encoding="utf-8"?>
<comments xmlns="http://schemas.openxmlformats.org/spreadsheetml/2006/main">
  <authors>
    <author>Urszula Sojka</author>
    <author>Dell</author>
  </authors>
  <commentList>
    <comment ref="I17" authorId="0">
      <text>
        <r>
          <rPr>
            <sz val="9"/>
            <color indexed="81"/>
            <rFont val="Tahoma"/>
            <family val="2"/>
            <charset val="238"/>
          </rPr>
          <t>Tabela 3. ROZLICZENIE KOSZTÓW  I PRZYCHODÓW 2019 R. EKSPLOATACJI I UTRZYMANIA "TERENÓW" kol. 14 garaże, arkusz Tereny kom. I26 oraz Q26</t>
        </r>
      </text>
    </comment>
    <comment ref="I19" authorId="1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z uchwały RN 11/2019 - nadpłata </t>
        </r>
      </text>
    </comment>
    <comment ref="K19" authorId="1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z systemu administracyjnego</t>
        </r>
      </text>
    </comment>
    <comment ref="L19" authorId="1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z systemu administracyjnego, rózne metraże do maja, różne od czerwca
</t>
        </r>
      </text>
    </comment>
    <comment ref="G54" authorId="1">
      <text>
        <r>
          <rPr>
            <sz val="9"/>
            <color indexed="81"/>
            <rFont val="Tahoma"/>
            <family val="2"/>
            <charset val="238"/>
          </rPr>
          <t>Nadpłata przeniesiona w rozliczenie kosztów terenów w kwocie 
45 990,82 zł</t>
        </r>
      </text>
    </comment>
    <comment ref="J56" authorId="1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po obniżce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uzupełnione z rozliczeia 2019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naliczenia wg. systemu administracyjnego</t>
        </r>
      </text>
    </comment>
  </commentList>
</comments>
</file>

<file path=xl/sharedStrings.xml><?xml version="1.0" encoding="utf-8"?>
<sst xmlns="http://schemas.openxmlformats.org/spreadsheetml/2006/main" count="364" uniqueCount="241">
  <si>
    <t>Powierzchnia użytkowa</t>
  </si>
  <si>
    <t>Liczba lokali mieszkalnych</t>
  </si>
  <si>
    <t>Stawka eksploatacja za miesiąc</t>
  </si>
  <si>
    <t>w m2</t>
  </si>
  <si>
    <t>w szt.</t>
  </si>
  <si>
    <t>sposób obliczenia</t>
  </si>
  <si>
    <t>w zł</t>
  </si>
  <si>
    <t>1. Budynki wielorodzinne (lokale mieszkalne)</t>
  </si>
  <si>
    <t>Łącznie</t>
  </si>
  <si>
    <t>*Uchwała Rady Nadzorczej Nr 12/2019</t>
  </si>
  <si>
    <t>2. Garaże (w budynkach mieszkalnych)</t>
  </si>
  <si>
    <t>za m2*</t>
  </si>
  <si>
    <t>KOSZTY WYKONANIE      
 I - XII 2019</t>
  </si>
  <si>
    <t>PRZYCHODY Z TYT. ZALICZEK 
 I - XII 2019</t>
  </si>
  <si>
    <t>ROZLICZENIE KOSZTÓW I PRZYCHODÓW (WYNIK)
 I - XII 2019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</si>
  <si>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</si>
  <si>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</si>
  <si>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</si>
  <si>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</si>
  <si>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</si>
  <si>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</si>
  <si>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</si>
  <si>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</si>
  <si>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</si>
  <si>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</si>
  <si>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</si>
  <si>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</si>
  <si>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17.</t>
  </si>
  <si>
    <t>19.</t>
  </si>
  <si>
    <t>20.</t>
  </si>
  <si>
    <t>pozostałe koszty</t>
  </si>
  <si>
    <t>koszty zarządu, biura i administracji (proporcja)</t>
  </si>
  <si>
    <t>koszty utrzymania czystości - budynki</t>
  </si>
  <si>
    <t>koszty konserwacji ogólnej</t>
  </si>
  <si>
    <t>koszty materiałów do konserwacji, usuwanie awarii</t>
  </si>
  <si>
    <t>koszty przeglądu okresowego ogólnobudowlanego budynków i garaży</t>
  </si>
  <si>
    <t>koszty rocznej kontroli przewodów kominowych</t>
  </si>
  <si>
    <t>koszty rocznej kontroli szczelności instalacji gazowej, elektrycznej</t>
  </si>
  <si>
    <t>koszty zdalnych odczytów wodomierzy</t>
  </si>
  <si>
    <t xml:space="preserve">koszty wynajmu mat wejściowych </t>
  </si>
  <si>
    <t>ubezpieczenie budynków i mienia Spółdzielni</t>
  </si>
  <si>
    <t>Tabela 3. Dane źródłowe do rozliczenia zaliczek obowiązujących w 2020 roku</t>
  </si>
  <si>
    <t>Tabela 1. Dane źródłowe do rozliczenia zaliczek obowiązujących w 2019 roku</t>
  </si>
  <si>
    <t>Eksploatacja bieżąca budynków</t>
  </si>
  <si>
    <t>Eksploatacja - konserwacja budynki</t>
  </si>
  <si>
    <t>Eksploatacja - ubezpieczenie</t>
  </si>
  <si>
    <t>Eksploatacja - pokrycie kosztów lat ubiegłych</t>
  </si>
  <si>
    <t>Garaże</t>
  </si>
  <si>
    <t>Suma</t>
  </si>
  <si>
    <t>KOSZTY WYKONANIE      
 I - III 2020</t>
  </si>
  <si>
    <t>KOSZTY PROGNOZOWANE IV-XII 2020</t>
  </si>
  <si>
    <t>PROGNOZOWANY KOSZT ROKU 2020</t>
  </si>
  <si>
    <t>Prognozowany koszt faktur roku 2020</t>
  </si>
  <si>
    <t>koszty rocznej kontroli szczelności instalacji gazowej</t>
  </si>
  <si>
    <t>zarząd, biuro, administracja (proporcja)</t>
  </si>
  <si>
    <t>STAWKI 2019 (za m2)</t>
  </si>
  <si>
    <t xml:space="preserve">1. </t>
  </si>
  <si>
    <t>III. Ogółem:</t>
  </si>
  <si>
    <t>nie dotyczy</t>
  </si>
  <si>
    <t>Stawka za ochronę Osiedla za miesiąc</t>
  </si>
  <si>
    <t>koszt/łączna pow.*metraż</t>
  </si>
  <si>
    <t>za metr*</t>
  </si>
  <si>
    <t>za lokal***</t>
  </si>
  <si>
    <t>1. Budynki wielorodzinne (lokale mieszkalne i garaże) i budynki garażowe</t>
  </si>
  <si>
    <t xml:space="preserve">2. Domy jednorodzinne </t>
  </si>
  <si>
    <t>za lokal**</t>
  </si>
  <si>
    <t>2. Tereny przeznaczone do wspólnego korzystania</t>
  </si>
  <si>
    <t>3. Garaże (w budynkach wielorodzinnych i wolnostojących)</t>
  </si>
  <si>
    <t>*Uchwała Rady Nadzorczej Nr 6/03/2014</t>
  </si>
  <si>
    <t>**umowy Spółdzielni z właścicielami domów z lat 2012-2014</t>
  </si>
  <si>
    <t>***Uchwała Rady Nadzorczej Nr 1/02/2011</t>
  </si>
  <si>
    <t>I. Eksploatacja terenów (bez ochrony), w tym:</t>
  </si>
  <si>
    <t>koszty utrzymania czystości</t>
  </si>
  <si>
    <t>odśnieżanie</t>
  </si>
  <si>
    <t>konserwacja ogólna terenów zewnętrznych</t>
  </si>
  <si>
    <t>koszty pogotowia technicznego</t>
  </si>
  <si>
    <t>prace techniczne</t>
  </si>
  <si>
    <t>koszty materiałów do konserwacji</t>
  </si>
  <si>
    <t>przełożenie i wyrównanie części chodnika</t>
  </si>
  <si>
    <t>koszty konserwacji i napraw szlabanu</t>
  </si>
  <si>
    <t>przegląd, regulacja drzwi, naprawa furtki</t>
  </si>
  <si>
    <t>znak drogowy</t>
  </si>
  <si>
    <t>serwis klimatyzatora, dojazd</t>
  </si>
  <si>
    <t>13.</t>
  </si>
  <si>
    <t>przewóz budki ochroniarskiej</t>
  </si>
  <si>
    <t>14.</t>
  </si>
  <si>
    <t>internet - ochrona</t>
  </si>
  <si>
    <t>15.</t>
  </si>
  <si>
    <t>koszty energii elektrycznej (oświetlenie terenu, serwerownia)</t>
  </si>
  <si>
    <t>16.</t>
  </si>
  <si>
    <t>remont , malowanie placu zabaw, huśtawki</t>
  </si>
  <si>
    <t>18.</t>
  </si>
  <si>
    <t>powiększenie szerokości miejsc parkingowych</t>
  </si>
  <si>
    <t>kabiny wc</t>
  </si>
  <si>
    <t>użytkowanie wieczyste gruntów</t>
  </si>
  <si>
    <t>21.</t>
  </si>
  <si>
    <t>podatek gruntowy</t>
  </si>
  <si>
    <t>22.</t>
  </si>
  <si>
    <t>zużycie wody</t>
  </si>
  <si>
    <t>23.</t>
  </si>
  <si>
    <t>24.</t>
  </si>
  <si>
    <t>II. Ochrona Osiedla</t>
  </si>
  <si>
    <r>
      <rPr>
        <sz val="14"/>
        <color rgb="FFFF0000"/>
        <rFont val="Calibri"/>
        <family val="2"/>
        <charset val="238"/>
        <scheme val="minor"/>
      </rPr>
      <t>**</t>
    </r>
    <r>
      <rPr>
        <sz val="11"/>
        <color theme="1"/>
        <rFont val="Calibri"/>
        <family val="2"/>
        <charset val="238"/>
        <scheme val="minor"/>
      </rPr>
      <t>Przechodzi w koszty roku 2019 r. odpowiednich  nieruchomości</t>
    </r>
  </si>
  <si>
    <t>Koszty ogólne w 2020 r.</t>
  </si>
  <si>
    <t>za lokal*</t>
  </si>
  <si>
    <t>Koszt prognozowany</t>
  </si>
  <si>
    <t>**Uchwała Rady Nadzorczej Nr 14/2019</t>
  </si>
  <si>
    <t>zimna woda i odprowadzanie ścieków</t>
  </si>
  <si>
    <t>opracowanie dokumentacji technicznej</t>
  </si>
  <si>
    <t>koszty przeglądu okresowego ogólnobudowlanego placu zabaw i boiska</t>
  </si>
  <si>
    <t>wymiana piasku w piaskownicy</t>
  </si>
  <si>
    <t>opłata za bezumowne korzystanie (dzierżawa rowu)</t>
  </si>
  <si>
    <t>PROGNOZOWANE PRZYCHODY Z TYT. ZALICZEK 
 I - VIII 2020</t>
  </si>
  <si>
    <t>PROGNOZOWANY KOSZT
IX-XII 2020</t>
  </si>
  <si>
    <t>Liczba lokali</t>
  </si>
  <si>
    <t>pozostałe koszty i rezerwa</t>
  </si>
  <si>
    <t>domknięcie osiedla</t>
  </si>
  <si>
    <t xml:space="preserve">koszty obsługi mat wejściowych </t>
  </si>
  <si>
    <t>wymiana i legalizacja wodomierzy głównych</t>
  </si>
  <si>
    <t>koszty utrzymania czystości, w tym woda do sprzątania</t>
  </si>
  <si>
    <t>Koszt wymiany i legalizacji wodomierzy indywidualnych</t>
  </si>
  <si>
    <t>Koszt poniesiony w 2019 roku (brak zaliczek na ten cel)</t>
  </si>
  <si>
    <t>Koszt planowany w 2024 roku (wymiana i legalizacja co 5 lat)</t>
  </si>
  <si>
    <t>Koszt w zł</t>
  </si>
  <si>
    <t>Liczba miesięcy na spłatę</t>
  </si>
  <si>
    <t>Ogółem</t>
  </si>
  <si>
    <t>energia elektryczna części wspólnych</t>
  </si>
  <si>
    <r>
      <t>Przypada na lok. mieszkalne budynki
wielorodzinne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(kol. 1+kol.6) /180 * liczba lokali+(kol.3)</t>
    </r>
  </si>
  <si>
    <r>
      <t xml:space="preserve">Przypada na lok. mieszkalne domy jednorodzinne
</t>
    </r>
    <r>
      <rPr>
        <i/>
        <sz val="8"/>
        <color theme="1"/>
        <rFont val="Calibri"/>
        <family val="2"/>
        <charset val="238"/>
        <scheme val="minor"/>
      </rPr>
      <t xml:space="preserve"> (kol. 1+kol.6) /180 * liczba lokali+(kol.5)</t>
    </r>
  </si>
  <si>
    <r>
      <t xml:space="preserve">Lok. mieszkalne budynki wielorodzinne
  </t>
    </r>
    <r>
      <rPr>
        <i/>
        <sz val="8"/>
        <color theme="1"/>
        <rFont val="Calibri"/>
        <family val="2"/>
        <charset val="238"/>
        <scheme val="minor"/>
      </rPr>
      <t>kol. 7-kol. 10</t>
    </r>
  </si>
  <si>
    <r>
      <t xml:space="preserve">Lok. mieszkalne domy jednorodzinne
</t>
    </r>
    <r>
      <rPr>
        <i/>
        <sz val="8"/>
        <color theme="1"/>
        <rFont val="Calibri"/>
        <family val="2"/>
        <charset val="238"/>
        <scheme val="minor"/>
      </rPr>
      <t>kol. 8- kol. 11</t>
    </r>
  </si>
  <si>
    <t>3. Garaże (w budynkach mieszkalnych wielorodzinnych i garażowych)</t>
  </si>
  <si>
    <t>1. Budynki mieszkalne wielorodzinne</t>
  </si>
  <si>
    <t>koszty utrzymania terenów zielonych</t>
  </si>
  <si>
    <t>wykonanie i montaż słupa latarni, odbiór techniczny</t>
  </si>
  <si>
    <r>
      <rPr>
        <sz val="12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Uwzględnienie nadpłaty z tyt. eksploatacji i utrzymania nieruchomości wspólnych w budynkach mieszkalnych wielorodzinnych</t>
    </r>
  </si>
  <si>
    <t>koszty energii elektrycznej</t>
  </si>
  <si>
    <t>1. Budynki mieszkalne wielorodzinne (mieszkania i garaże) i budynki garażowe</t>
  </si>
  <si>
    <t>KOSZTY WYKONANIE      
 I - XII 2019
(z uwzględnieniem wyniku za 2018)</t>
  </si>
  <si>
    <t>ŁĄCZNIE</t>
  </si>
  <si>
    <r>
      <t>w tym:
lok. mieszkalne budynki wielorodzinne</t>
    </r>
    <r>
      <rPr>
        <sz val="14"/>
        <color rgb="FFFF0000"/>
        <rFont val="Calibri"/>
        <family val="2"/>
        <charset val="238"/>
        <scheme val="minor"/>
      </rPr>
      <t xml:space="preserve">*
</t>
    </r>
    <r>
      <rPr>
        <i/>
        <sz val="8"/>
        <color theme="1"/>
        <rFont val="Calibri"/>
        <family val="2"/>
        <charset val="238"/>
        <scheme val="minor"/>
      </rPr>
      <t>I. stawka eksploat.*pow.użytk.*12m-cy
II. stawka och.* liczba lokali*12m-cy</t>
    </r>
  </si>
  <si>
    <r>
      <t xml:space="preserve">w tym:
lok. mieszkalne domy jednorodzinne
</t>
    </r>
    <r>
      <rPr>
        <i/>
        <sz val="8"/>
        <color theme="1"/>
        <rFont val="Calibri"/>
        <family val="2"/>
        <charset val="238"/>
        <scheme val="minor"/>
      </rPr>
      <t>I. stawka eksploat.* liczba lok.*12m-cy
II. stawka och.* liczba lokali*12m-cy</t>
    </r>
  </si>
  <si>
    <r>
      <t xml:space="preserve">w tym:
garaże 
</t>
    </r>
    <r>
      <rPr>
        <i/>
        <sz val="8"/>
        <color theme="1"/>
        <rFont val="Calibri"/>
        <family val="2"/>
        <charset val="238"/>
        <scheme val="minor"/>
      </rPr>
      <t>I. stawka eksploat.*pow.użytk.*12m-cy
II.nie dotyczy</t>
    </r>
  </si>
  <si>
    <r>
      <rPr>
        <b/>
        <sz val="8"/>
        <color theme="1"/>
        <rFont val="Calibri"/>
        <family val="2"/>
        <charset val="238"/>
        <scheme val="minor"/>
      </rPr>
      <t>ŁĄCZNIE</t>
    </r>
    <r>
      <rPr>
        <sz val="8"/>
        <color theme="1"/>
        <rFont val="Calibri"/>
        <family val="2"/>
        <charset val="238"/>
        <scheme val="minor"/>
      </rPr>
      <t xml:space="preserve">
 z faktur 2019 roku</t>
    </r>
  </si>
  <si>
    <r>
      <rPr>
        <b/>
        <sz val="8"/>
        <color theme="1"/>
        <rFont val="Calibri"/>
        <family val="2"/>
        <charset val="238"/>
        <scheme val="minor"/>
      </rPr>
      <t xml:space="preserve">
WYNIK ROKU 2018</t>
    </r>
    <r>
      <rPr>
        <sz val="8"/>
        <color theme="1"/>
        <rFont val="Calibri"/>
        <family val="2"/>
        <charset val="238"/>
        <scheme val="minor"/>
      </rPr>
      <t xml:space="preserve">
lok. mieszkalne budynki wielorodzinne
</t>
    </r>
    <r>
      <rPr>
        <i/>
        <sz val="8"/>
        <color theme="1"/>
        <rFont val="Calibri"/>
        <family val="2"/>
        <charset val="238"/>
        <scheme val="minor"/>
      </rPr>
      <t xml:space="preserve">wg liczby lokali
</t>
    </r>
    <r>
      <rPr>
        <i/>
        <sz val="8"/>
        <color rgb="FF00B050"/>
        <rFont val="Calibri"/>
        <family val="2"/>
        <charset val="238"/>
        <scheme val="minor"/>
      </rPr>
      <t>I.NADPŁATA</t>
    </r>
    <r>
      <rPr>
        <i/>
        <sz val="8"/>
        <color theme="1"/>
        <rFont val="Calibri"/>
        <family val="2"/>
        <charset val="238"/>
        <scheme val="minor"/>
      </rPr>
      <t xml:space="preserve">
</t>
    </r>
    <r>
      <rPr>
        <i/>
        <sz val="8"/>
        <color rgb="FFFF0000"/>
        <rFont val="Calibri"/>
        <family val="2"/>
        <charset val="238"/>
        <scheme val="minor"/>
      </rPr>
      <t>II. NIEDOPŁATA</t>
    </r>
  </si>
  <si>
    <r>
      <rPr>
        <b/>
        <sz val="8"/>
        <color theme="1"/>
        <rFont val="Calibri"/>
        <family val="2"/>
        <charset val="238"/>
        <scheme val="minor"/>
      </rPr>
      <t xml:space="preserve">
WYNIK ROKU 2018</t>
    </r>
    <r>
      <rPr>
        <sz val="8"/>
        <color theme="1"/>
        <rFont val="Calibri"/>
        <family val="2"/>
        <charset val="238"/>
        <scheme val="minor"/>
      </rPr>
      <t xml:space="preserve">
lok. mieszkalne domy jednorodzinne
</t>
    </r>
    <r>
      <rPr>
        <i/>
        <sz val="8"/>
        <color theme="1"/>
        <rFont val="Calibri"/>
        <family val="2"/>
        <charset val="238"/>
        <scheme val="minor"/>
      </rPr>
      <t xml:space="preserve">wg liczby lokali 
</t>
    </r>
    <r>
      <rPr>
        <i/>
        <sz val="8"/>
        <color rgb="FFFF0000"/>
        <rFont val="Calibri"/>
        <family val="2"/>
        <charset val="238"/>
        <scheme val="minor"/>
      </rPr>
      <t xml:space="preserve"> 
NIEDOPŁATA</t>
    </r>
    <r>
      <rPr>
        <i/>
        <sz val="8"/>
        <color theme="1"/>
        <rFont val="Calibri"/>
        <family val="2"/>
        <charset val="238"/>
        <scheme val="minor"/>
      </rPr>
      <t xml:space="preserve">
</t>
    </r>
  </si>
  <si>
    <r>
      <t xml:space="preserve">w tym:
Przypada z kol.1 na lok. mieszkalne budynki wielorodzinne
</t>
    </r>
    <r>
      <rPr>
        <i/>
        <sz val="8"/>
        <color theme="1"/>
        <rFont val="Calibri"/>
        <family val="2"/>
        <charset val="238"/>
        <scheme val="minor"/>
      </rPr>
      <t>wg liczby lokali</t>
    </r>
  </si>
  <si>
    <r>
      <t xml:space="preserve">w tym:
Przypada z kol.1 na lok. mieszkalne domy jednorodzinne
</t>
    </r>
    <r>
      <rPr>
        <i/>
        <sz val="8"/>
        <color theme="1"/>
        <rFont val="Calibri"/>
        <family val="2"/>
        <charset val="238"/>
        <scheme val="minor"/>
      </rPr>
      <t>wg liczby lokali</t>
    </r>
  </si>
  <si>
    <r>
      <t xml:space="preserve">
w tym:
Lok. mieszkalne budynki wielorodzinne
</t>
    </r>
    <r>
      <rPr>
        <i/>
        <sz val="8"/>
        <color theme="1"/>
        <rFont val="Calibri"/>
        <family val="2"/>
        <charset val="238"/>
        <scheme val="minor"/>
      </rPr>
      <t xml:space="preserve">
(kol.8)-(kol.3)-(kol.2)</t>
    </r>
  </si>
  <si>
    <r>
      <t xml:space="preserve">
w tym:
Lok. mieszkalne domy jednorodzinne
</t>
    </r>
    <r>
      <rPr>
        <i/>
        <sz val="8"/>
        <color theme="1"/>
        <rFont val="Calibri"/>
        <family val="2"/>
        <charset val="238"/>
        <scheme val="minor"/>
      </rPr>
      <t xml:space="preserve">
(kol.9)-(kol.5)-(kol.4)</t>
    </r>
  </si>
  <si>
    <r>
      <t xml:space="preserve">
w tym:
Garaże</t>
    </r>
    <r>
      <rPr>
        <sz val="14"/>
        <color rgb="FFFF0000"/>
        <rFont val="Calibri"/>
        <family val="2"/>
        <charset val="238"/>
        <scheme val="minor"/>
      </rPr>
      <t xml:space="preserve">**
</t>
    </r>
    <r>
      <rPr>
        <i/>
        <sz val="8"/>
        <color theme="1"/>
        <rFont val="Calibri"/>
        <family val="2"/>
        <charset val="238"/>
        <scheme val="minor"/>
      </rPr>
      <t>(kol.8)-(kol.4)</t>
    </r>
  </si>
  <si>
    <r>
      <t xml:space="preserve">ŁĄCZNIE
</t>
    </r>
    <r>
      <rPr>
        <i/>
        <sz val="8"/>
        <color theme="1"/>
        <rFont val="Calibri"/>
        <family val="2"/>
        <charset val="238"/>
        <scheme val="minor"/>
      </rPr>
      <t>(kol.7)-(kol.1)-(kol.3)-(kol.5)</t>
    </r>
  </si>
  <si>
    <r>
      <rPr>
        <b/>
        <sz val="8"/>
        <color theme="1"/>
        <rFont val="Calibri"/>
        <family val="2"/>
        <charset val="238"/>
        <scheme val="minor"/>
      </rPr>
      <t xml:space="preserve">
WYNIK ROKU 2018</t>
    </r>
    <r>
      <rPr>
        <sz val="8"/>
        <color theme="1"/>
        <rFont val="Calibri"/>
        <family val="2"/>
        <charset val="238"/>
        <scheme val="minor"/>
      </rPr>
      <t xml:space="preserve">
garaże w budynkach wielorodzinnych i garażowych
 </t>
    </r>
    <r>
      <rPr>
        <i/>
        <sz val="8"/>
        <color theme="1"/>
        <rFont val="Calibri"/>
        <family val="2"/>
        <charset val="238"/>
        <scheme val="minor"/>
      </rPr>
      <t>(od 2019 nie uczestniczą w kosztach terenów)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i/>
        <sz val="8"/>
        <color rgb="FFFF0000"/>
        <rFont val="Calibri"/>
        <family val="2"/>
        <charset val="238"/>
        <scheme val="minor"/>
      </rPr>
      <t>NIEDOPŁATA</t>
    </r>
  </si>
  <si>
    <t>czyszczenie studzienek kanalizacji sanitarnej i deszczowej raz na rok</t>
  </si>
  <si>
    <r>
      <t>Tabela 3. ROZLICZENIE KOSZTÓW  I PRZYCHODÓW 2019 R. EKSPLOATACJI I UTRZYMANIA "TERENÓW"
(</t>
    </r>
    <r>
      <rPr>
        <b/>
        <sz val="11"/>
        <color theme="1"/>
        <rFont val="Calibri"/>
        <family val="2"/>
        <charset val="238"/>
      </rPr>
      <t>§9</t>
    </r>
    <r>
      <rPr>
        <b/>
        <sz val="11"/>
        <color theme="1"/>
        <rFont val="Calibri"/>
        <family val="2"/>
        <charset val="238"/>
        <scheme val="minor"/>
      </rPr>
      <t xml:space="preserve"> Regulaminu zasad rozliczania kosztów gospodarki zasobami mieszkaniowymi i ustalania opłat w Spółdzielni Mieszkaniowej „Osiedle Zacisze" w Warszawie" - Uchwała nr 7/19 Rady Nadzorczej z dnia 5 września 2019 r.)</t>
    </r>
  </si>
  <si>
    <r>
      <rPr>
        <b/>
        <sz val="8"/>
        <color theme="1"/>
        <rFont val="Calibri"/>
        <family val="2"/>
        <charset val="238"/>
        <scheme val="minor"/>
      </rPr>
      <t xml:space="preserve">
WYNIK ROKU 2019</t>
    </r>
    <r>
      <rPr>
        <sz val="8"/>
        <color theme="1"/>
        <rFont val="Calibri"/>
        <family val="2"/>
        <charset val="238"/>
        <scheme val="minor"/>
      </rPr>
      <t xml:space="preserve">
lok. mieszkalne budynki wielorodzinne
</t>
    </r>
    <r>
      <rPr>
        <i/>
        <sz val="8"/>
        <color theme="1"/>
        <rFont val="Calibri"/>
        <family val="2"/>
        <charset val="238"/>
        <scheme val="minor"/>
      </rPr>
      <t xml:space="preserve">wg liczby lokali
</t>
    </r>
    <r>
      <rPr>
        <i/>
        <sz val="8"/>
        <color rgb="FF00B050"/>
        <rFont val="Calibri"/>
        <family val="2"/>
        <charset val="238"/>
        <scheme val="minor"/>
      </rPr>
      <t>I.NADPŁATA</t>
    </r>
    <r>
      <rPr>
        <i/>
        <sz val="8"/>
        <color theme="1"/>
        <rFont val="Calibri"/>
        <family val="2"/>
        <charset val="238"/>
        <scheme val="minor"/>
      </rPr>
      <t xml:space="preserve">
</t>
    </r>
    <r>
      <rPr>
        <i/>
        <sz val="8"/>
        <color rgb="FFFF0000"/>
        <rFont val="Calibri"/>
        <family val="2"/>
        <charset val="238"/>
        <scheme val="minor"/>
      </rPr>
      <t>II. NIEDOPŁATA</t>
    </r>
  </si>
  <si>
    <r>
      <rPr>
        <b/>
        <sz val="8"/>
        <color theme="1"/>
        <rFont val="Calibri"/>
        <family val="2"/>
        <charset val="238"/>
        <scheme val="minor"/>
      </rPr>
      <t xml:space="preserve">
WYNIK ROKU 2019</t>
    </r>
    <r>
      <rPr>
        <sz val="8"/>
        <color theme="1"/>
        <rFont val="Calibri"/>
        <family val="2"/>
        <charset val="238"/>
        <scheme val="minor"/>
      </rPr>
      <t xml:space="preserve">
lok. mieszkalne domy jednorodzinne
</t>
    </r>
    <r>
      <rPr>
        <i/>
        <sz val="8"/>
        <color theme="1"/>
        <rFont val="Calibri"/>
        <family val="2"/>
        <charset val="238"/>
        <scheme val="minor"/>
      </rPr>
      <t xml:space="preserve">wg liczby lokali 
</t>
    </r>
    <r>
      <rPr>
        <i/>
        <sz val="8"/>
        <color rgb="FFFF0000"/>
        <rFont val="Calibri"/>
        <family val="2"/>
        <charset val="238"/>
        <scheme val="minor"/>
      </rPr>
      <t xml:space="preserve"> 
NIEDOPŁATA</t>
    </r>
    <r>
      <rPr>
        <i/>
        <sz val="8"/>
        <color theme="1"/>
        <rFont val="Calibri"/>
        <family val="2"/>
        <charset val="238"/>
        <scheme val="minor"/>
      </rPr>
      <t xml:space="preserve">
</t>
    </r>
  </si>
  <si>
    <r>
      <rPr>
        <b/>
        <sz val="8"/>
        <color theme="1"/>
        <rFont val="Calibri"/>
        <family val="2"/>
        <charset val="238"/>
        <scheme val="minor"/>
      </rPr>
      <t>ŁĄCZNIE PROGNOZOWANY KOSZT</t>
    </r>
    <r>
      <rPr>
        <sz val="8"/>
        <color theme="1"/>
        <rFont val="Calibri"/>
        <family val="2"/>
        <charset val="238"/>
        <scheme val="minor"/>
      </rPr>
      <t xml:space="preserve">
 z faktur 
VI-XII 2020 roku</t>
    </r>
  </si>
  <si>
    <t>KOSZTY PROGNOZA 
IV-XII 2020</t>
  </si>
  <si>
    <r>
      <rPr>
        <b/>
        <sz val="8"/>
        <color theme="1"/>
        <rFont val="Calibri"/>
        <family val="2"/>
        <charset val="238"/>
        <scheme val="minor"/>
      </rPr>
      <t>ŁĄCZNIE</t>
    </r>
    <r>
      <rPr>
        <sz val="8"/>
        <color theme="1"/>
        <rFont val="Calibri"/>
        <family val="2"/>
        <charset val="238"/>
        <scheme val="minor"/>
      </rPr>
      <t xml:space="preserve">
</t>
    </r>
  </si>
  <si>
    <r>
      <t xml:space="preserve">w tym:
na lok. mieszkalne budynki wielorodzinne
</t>
    </r>
    <r>
      <rPr>
        <sz val="8"/>
        <color rgb="FFFF0000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stawka * liczba lokali*8m-cy</t>
    </r>
  </si>
  <si>
    <r>
      <t xml:space="preserve">w tym:
 na lok. mieszkalne domy jednorodzinne
</t>
    </r>
    <r>
      <rPr>
        <i/>
        <sz val="8"/>
        <color theme="1"/>
        <rFont val="Calibri"/>
        <family val="2"/>
        <charset val="238"/>
        <scheme val="minor"/>
      </rPr>
      <t xml:space="preserve"> stawka * liczba lokali*8m-cy</t>
    </r>
  </si>
  <si>
    <r>
      <t xml:space="preserve">Lok. mieszkalne budynki wielorodzinne
</t>
    </r>
    <r>
      <rPr>
        <i/>
        <sz val="8"/>
        <color theme="1"/>
        <rFont val="Calibri"/>
        <family val="2"/>
        <charset val="238"/>
        <scheme val="minor"/>
      </rPr>
      <t>(kol. 12)/liczba lokali/4 m-cy</t>
    </r>
  </si>
  <si>
    <r>
      <t xml:space="preserve">Lok. mieszkalne domy jednorodzinne
</t>
    </r>
    <r>
      <rPr>
        <i/>
        <sz val="8"/>
        <color theme="1"/>
        <rFont val="Calibri"/>
        <family val="2"/>
        <charset val="238"/>
        <scheme val="minor"/>
      </rPr>
      <t>(kol.13)/liczba lokali/4 m-cy</t>
    </r>
  </si>
  <si>
    <r>
      <t xml:space="preserve">Lokale mieszkalne (budynki jednorodzinne i wielorodzinne)
</t>
    </r>
    <r>
      <rPr>
        <i/>
        <sz val="8"/>
        <color theme="1"/>
        <rFont val="Calibri"/>
        <family val="2"/>
        <charset val="238"/>
        <scheme val="minor"/>
      </rPr>
      <t>(kol.1+kol.6)/liczba lokali/12 m-cy</t>
    </r>
  </si>
  <si>
    <r>
      <t xml:space="preserve">Lokale mieszkalne (budynki jednorodzinne i wielorodzinne)
</t>
    </r>
    <r>
      <rPr>
        <i/>
        <sz val="8"/>
        <color theme="1"/>
        <rFont val="Calibri"/>
        <family val="2"/>
        <charset val="238"/>
        <scheme val="minor"/>
      </rPr>
      <t>(476 154/liczba lokali/12 m-cy</t>
    </r>
  </si>
  <si>
    <r>
      <t xml:space="preserve">Lok. mieszkalne budynki wielorodzinne
</t>
    </r>
    <r>
      <rPr>
        <i/>
        <sz val="8"/>
        <color theme="1"/>
        <rFont val="Calibri"/>
        <family val="2"/>
        <charset val="238"/>
        <scheme val="minor"/>
      </rPr>
      <t>(kol. 12+378 278-nadwyżka bilansowa)/liczba lokali/16 m-cy</t>
    </r>
  </si>
  <si>
    <t>PRZYCHODY 
Z TYTUŁU OPŁAT
 I - VIII 2020</t>
  </si>
  <si>
    <t xml:space="preserve">ŚREDNIO KOSZT 2020 MIESIĘCZNIE PRZYPADAJĄCY NA LOKAL BEZ ROZLICZEŃ NADPŁAT I NIEDOPŁAT
</t>
  </si>
  <si>
    <r>
      <t xml:space="preserve">KALKULACJA STAWKI OPŁAT
 OBOWIĄZUJĄCEJ OD 1.01.2021 DO 31.12.2021
</t>
    </r>
    <r>
      <rPr>
        <i/>
        <sz val="10"/>
        <color theme="1"/>
        <rFont val="Calibri"/>
        <family val="2"/>
        <charset val="238"/>
        <scheme val="minor"/>
      </rPr>
      <t>(prognozowany koszt roku 2021 -</t>
    </r>
    <r>
      <rPr>
        <b/>
        <i/>
        <sz val="10"/>
        <color theme="1"/>
        <rFont val="Calibri"/>
        <family val="2"/>
        <charset val="238"/>
        <scheme val="minor"/>
      </rPr>
      <t>476 154 zł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</si>
  <si>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t xml:space="preserve">KALKULACJA STAWKI OPŁAT
 OBOWIĄZUJĄCEJ 
OD 1.09 DO 31.12.2020
</t>
    </r>
    <r>
      <rPr>
        <i/>
        <sz val="10"/>
        <color theme="1"/>
        <rFont val="Calibri"/>
        <family val="2"/>
        <charset val="238"/>
        <scheme val="minor"/>
      </rPr>
      <t>Z UWZGLĘDNIENIEM ROZLICZENIA KOSZTÓW I PRZYCHODÓW 
ROKU 2019</t>
    </r>
  </si>
  <si>
    <t>Tabela 6. ROZLICZENIE (I-III) I PROGNOZA (IV-XII) KOSZTÓW 2020 R. EKSPLOATACJI I UTRZYMANIA "TERENÓW" ORAZ KALKULACJA STAWKI MIESIĘCZNEJ OBOWIĄZUJĄCEJ OD 1 WRZEŚNIA 2020 R.
(§9, 10, 11, 13 Regulaminu zasad rozliczania kosztów gospodarki zasobami mieszkaniowymi i ustalania opłat w Spółdzielni Mieszkaniowej „Osiedle Zacisze" w Warszawie" - Uchwała nr 7/19 Rady Nadzorczej z dnia 5 września 2019 r.)</t>
  </si>
  <si>
    <t xml:space="preserve">Tabela 2. Rozbicie kosztów zarządzania,  biura i administracji </t>
  </si>
  <si>
    <r>
      <t xml:space="preserve">Tabela 5. Rozbicie kosztów zarządzania (w tym biura i administracji) </t>
    </r>
    <r>
      <rPr>
        <i/>
        <sz val="11"/>
        <color theme="1"/>
        <rFont val="Calibri"/>
        <family val="2"/>
        <charset val="238"/>
        <scheme val="minor"/>
      </rPr>
      <t>zgodnie z §9 ust. 1 pkt 2 tiret 8 Regulaminu zasad rozliczania kosztów gospodarki zasobami mieszkaniowymi …</t>
    </r>
  </si>
  <si>
    <t>Tabela 4. Dane źródłowe do naliczenia zaliczek opłat obowiązujących od 2020 roku</t>
  </si>
  <si>
    <r>
      <t xml:space="preserve">Przeznaczenie nadwyżki bilansowej </t>
    </r>
    <r>
      <rPr>
        <i/>
        <sz val="10"/>
        <color rgb="FFFF0000"/>
        <rFont val="Calibri"/>
        <family val="2"/>
        <charset val="238"/>
        <scheme val="minor"/>
      </rPr>
      <t>(tylko dla członków SM)</t>
    </r>
    <r>
      <rPr>
        <i/>
        <sz val="10"/>
        <color theme="1"/>
        <rFont val="Calibri"/>
        <family val="2"/>
        <charset val="238"/>
        <scheme val="minor"/>
      </rPr>
      <t xml:space="preserve"> Uchwała WZ nr 10 z 25 czerwca 2019 r.</t>
    </r>
  </si>
  <si>
    <t>Kalkulacja stawki od 1.09.2020 r. (koszt na lokal mieszkalny miesięcznie)</t>
  </si>
  <si>
    <r>
      <t xml:space="preserve">Tabela. ROZLICZENIE I PROGNOZA KOSZTÓW EKSPLOATACJI I UTRZYMANIA LOKALI MIESZKALNYCH ORAZ KALKULACJA STAWKI MIESIĘCZNEJ OBOWIĄZUJĄCEJ OD 1 WRZEŚNIA 2020 R. - WYMIANA I LEGALIZACJA WODOMIERZY
</t>
    </r>
    <r>
      <rPr>
        <sz val="11"/>
        <color theme="1"/>
        <rFont val="Calibri"/>
        <family val="2"/>
        <charset val="238"/>
        <scheme val="minor"/>
      </rPr>
      <t>(§5 lit. b  Regulaminu zasad rozliczania kosztów gospodarki zasobami mieszkaniowymi i ustalania opłat w Spółdzielni Mieszkaniowej „Osiedle Zacisze" w Warszawie" - Uchwała nr 7/19 Rady Nadzorczej z dnia 5 września 2019 r.)</t>
    </r>
  </si>
  <si>
    <t>EKSPLOATACJA I UTRZYMANIE 
NIERUCHOMOŚCI STANOWIĄCYCH MIENIE SPÓŁDZIELNI PRZEZNACZONYCH DO WSPÓLNEGO KORZYSTANIA "TERENÓW"</t>
  </si>
  <si>
    <t>(kol.1/kol.2/143 lokale)*</t>
  </si>
  <si>
    <t>* Spółdzielnia dokonuje wymiany wodomierzy wyłącznie w budynkach wielorodzinnych dlatego stawka nie dotyczy lokali w nieuwłaszczonych domach jednorodzinnych</t>
  </si>
  <si>
    <r>
      <rPr>
        <b/>
        <sz val="8"/>
        <color theme="1"/>
        <rFont val="Calibri"/>
        <family val="2"/>
        <charset val="238"/>
        <scheme val="minor"/>
      </rPr>
      <t>ŁĄCZNIE</t>
    </r>
    <r>
      <rPr>
        <sz val="8"/>
        <color theme="1"/>
        <rFont val="Calibri"/>
        <family val="2"/>
        <charset val="238"/>
        <scheme val="minor"/>
      </rPr>
      <t xml:space="preserve">
 z  faktur 
I-III 2020 roku</t>
    </r>
  </si>
  <si>
    <r>
      <rPr>
        <b/>
        <sz val="8"/>
        <color theme="1"/>
        <rFont val="Calibri"/>
        <family val="2"/>
        <charset val="238"/>
        <scheme val="minor"/>
      </rPr>
      <t xml:space="preserve">ŁĄCZNIE </t>
    </r>
    <r>
      <rPr>
        <sz val="8"/>
        <color theme="1"/>
        <rFont val="Calibri"/>
        <family val="2"/>
        <charset val="238"/>
        <scheme val="minor"/>
      </rPr>
      <t xml:space="preserve">
z faktur 2019 roku</t>
    </r>
  </si>
  <si>
    <t>Tabela 2. ROZLICZENIE KOSZTÓW  I PRZYCHODÓW 2019 R. EKSPLOATACJI I UTRZYMANIA NIERUCHOMOŚCI WSPÓLNEJ W BUDYNKACH MIESZKALNYCH WIELORODZINNYCH I BUDYNKACH GARAŻOWYCH
(§7 i 8  Regulaminu zasad rozliczania kosztów gospodarki zasobami mieszkaniowymi i ustalania opłat w Spółdzielni Mieszkaniowej „Osiedle Zacisze" w Warszawie" - Uchwała nr 7/19 Rady Nadzorczej z dnia 5 września 2019 r.)</t>
  </si>
  <si>
    <t>koszty zarządzania (w tym biura i administracji) (proporcja)</t>
  </si>
  <si>
    <t xml:space="preserve">
WYNIK ROKU 2018
Lok. mieszkalne budynki wielorodzinne
</t>
  </si>
  <si>
    <t>3. Garaże (w budynkach garażowych)</t>
  </si>
  <si>
    <t>koszty zarządzania (w tym biura i administracji)</t>
  </si>
  <si>
    <t>Tabela 2. Rozbicie kosztów zarządzania (w tym biura i administracji)</t>
  </si>
  <si>
    <t>Koszty zarządzania
w 2019 r.</t>
  </si>
  <si>
    <r>
      <t xml:space="preserve">
w tym:
 na budynki wielorodzinne
</t>
    </r>
    <r>
      <rPr>
        <i/>
        <sz val="8"/>
        <color theme="1"/>
        <rFont val="Calibri"/>
        <family val="2"/>
        <charset val="238"/>
        <scheme val="minor"/>
      </rPr>
      <t xml:space="preserve">
</t>
    </r>
  </si>
  <si>
    <t xml:space="preserve">
w tym:
na budynki garażowe
</t>
  </si>
  <si>
    <t>ŁACZNIE</t>
  </si>
  <si>
    <r>
      <t xml:space="preserve">
w tym:
Lok. mieszkalne i garażowe w budynkach wielorodzinnych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 xml:space="preserve">stawka eksploat.*pow.użytk.*12m-cy
</t>
    </r>
  </si>
  <si>
    <r>
      <t xml:space="preserve">
w tym:
Budynki garażowe
</t>
    </r>
    <r>
      <rPr>
        <i/>
        <sz val="8"/>
        <color theme="1"/>
        <rFont val="Calibri"/>
        <family val="2"/>
        <charset val="238"/>
        <scheme val="minor"/>
      </rPr>
      <t xml:space="preserve">stawka eksploat.* liczba lok.*12m-cy
</t>
    </r>
  </si>
  <si>
    <r>
      <t xml:space="preserve">w tym:
na lok. mieszkalne budynki wielorodzinne
</t>
    </r>
    <r>
      <rPr>
        <i/>
        <sz val="8"/>
        <color theme="1"/>
        <rFont val="Calibri"/>
        <family val="2"/>
        <charset val="238"/>
        <scheme val="minor"/>
      </rPr>
      <t>wg liczby lokali</t>
    </r>
  </si>
  <si>
    <r>
      <t xml:space="preserve">w tym:
na lok. mieszkalne domy jednorodzinne
</t>
    </r>
    <r>
      <rPr>
        <i/>
        <sz val="8"/>
        <color theme="1"/>
        <rFont val="Calibri"/>
        <family val="2"/>
        <charset val="238"/>
        <scheme val="minor"/>
      </rPr>
      <t>wg liczby lokali</t>
    </r>
  </si>
  <si>
    <r>
      <t xml:space="preserve">
WYNIK ROKU 2018
Garaże (łącznie)
w tym  pokrycie niedopłaty garaży z 2018 r. na Tereny  (kwota 22 702,34 zł)
</t>
    </r>
    <r>
      <rPr>
        <i/>
        <sz val="8"/>
        <color theme="1"/>
        <rFont val="Calibri"/>
        <family val="2"/>
        <charset val="238"/>
        <scheme val="minor"/>
      </rPr>
      <t xml:space="preserve"> 
</t>
    </r>
  </si>
  <si>
    <t>ROZLICZENIE KOSZTÓW I PRZYCHODÓW 
(WYNIK)
 I - XII 2019</t>
  </si>
  <si>
    <t xml:space="preserve">Liczba lokali </t>
  </si>
  <si>
    <r>
      <t xml:space="preserve">w tym:
budynki wielorodzinne
(lok. mieszkalne i garaże)
</t>
    </r>
    <r>
      <rPr>
        <i/>
        <sz val="8"/>
        <color theme="1"/>
        <rFont val="Calibri"/>
        <family val="2"/>
        <charset val="238"/>
        <scheme val="minor"/>
      </rPr>
      <t xml:space="preserve">
 (kol.7)-(kol.2)-(kol.3)-proporcja wyniku garaży</t>
    </r>
  </si>
  <si>
    <r>
      <rPr>
        <b/>
        <sz val="8"/>
        <color theme="1"/>
        <rFont val="Calibri"/>
        <family val="2"/>
        <charset val="238"/>
        <scheme val="minor"/>
      </rPr>
      <t>ŁACZNIE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(kol.10)+(kol.11)</t>
    </r>
  </si>
  <si>
    <r>
      <t xml:space="preserve">w tym:
Budynki garażowe
</t>
    </r>
    <r>
      <rPr>
        <i/>
        <sz val="8"/>
        <color theme="1"/>
        <rFont val="Calibri"/>
        <family val="2"/>
        <charset val="238"/>
        <scheme val="minor"/>
      </rPr>
      <t xml:space="preserve">
(kol.8)-(kol.4) - proporcja wyniku garaży</t>
    </r>
  </si>
  <si>
    <t>1.1 Budynki wielorodzinne (lokale mieszkalne)</t>
  </si>
  <si>
    <t>1.2. Budynki wielorodzinne (garaże)</t>
  </si>
  <si>
    <t>2. Budynki garażowe</t>
  </si>
  <si>
    <t>Tabela 4. ROZLICZENIE (I-III) I PROGNOZA (IV-XII) KOSZTÓW 2020 R. EKSPLOATACJI I UTRZYMANIA NIERUCHOMOŚCI WSPÓLNEJ W BUDYNKACH MIESZKALNYCH WIELORODZINNYCH I BUDYNKACH GARAŻOWYCH ORAZ KALKULACJA STAWEK MIESIĘCZNYCH OBOWIĄZUJĄCYCH OD 1 WRZEŚNIA 2020 R.
(§7, 8, 11, 12 Regulaminu zasad rozliczania kosztów gospodarki zasobami mieszkaniowymi i ustalania opłat w Spółdzielni Mieszkaniowej „Osiedle Zacisze" w Warszawie" - Uchwała nr 7/19 Rady Nadzorczej z dnia 5 września 2019 r.)</t>
  </si>
  <si>
    <t>w tym:
budynki garażowe</t>
  </si>
  <si>
    <t>WYNIK ROKU 2019 budynki wielorodzinne</t>
  </si>
  <si>
    <t>w tym:
na budynki wielorodzinne</t>
  </si>
  <si>
    <t>w tym:
 na budynki garażowe</t>
  </si>
  <si>
    <t>Koszty eksploatacji i utrzymania nieruchomości wspólnej 
w budynkach wielorodzinnych 
i garażowych</t>
  </si>
  <si>
    <t>w tym:</t>
  </si>
  <si>
    <t>Eksploatacja i utrzymanie nieruchomości wspólnej 
w budynkach wielorodzinnych 
i garażowych</t>
  </si>
  <si>
    <t>KALKULACJA STAWKI 
 OBOWIĄZUJĄCEJ 
OD 1.09.2020 - DO 31.12.2020</t>
  </si>
  <si>
    <t>KALKULACJA STAWKI 
 OBOWIĄZUJĄCEJ 
OD 1.01.2021 - DO 31.12.2021</t>
  </si>
  <si>
    <t>KALKULACJA STAWKI 
 OBOWIĄZUJĄCEJ 
OD 1.09.2020 - DO 31.12.2021</t>
  </si>
  <si>
    <t>energia elektryczna</t>
  </si>
  <si>
    <r>
      <rPr>
        <b/>
        <sz val="9"/>
        <color theme="1"/>
        <rFont val="Calibri"/>
        <family val="2"/>
        <charset val="238"/>
        <scheme val="minor"/>
      </rPr>
      <t>ŁĄCZNIE</t>
    </r>
    <r>
      <rPr>
        <sz val="9"/>
        <color theme="1"/>
        <rFont val="Calibri"/>
        <family val="2"/>
        <charset val="238"/>
        <scheme val="minor"/>
      </rPr>
      <t xml:space="preserve">
 z faktur 
I-III 2020 roku</t>
    </r>
  </si>
  <si>
    <r>
      <t>w tym:
budynki wielorodzinne</t>
    </r>
    <r>
      <rPr>
        <i/>
        <sz val="9"/>
        <color theme="1"/>
        <rFont val="Calibri"/>
        <family val="2"/>
        <charset val="238"/>
        <scheme val="minor"/>
      </rPr>
      <t xml:space="preserve">
</t>
    </r>
  </si>
  <si>
    <r>
      <t xml:space="preserve">WYNIK ROKU 2019
budynki garażowe
</t>
    </r>
    <r>
      <rPr>
        <sz val="9"/>
        <color rgb="FF00B050"/>
        <rFont val="Calibri"/>
        <family val="2"/>
        <charset val="238"/>
        <scheme val="minor"/>
      </rPr>
      <t>NADPŁATA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 xml:space="preserve"> 
</t>
    </r>
  </si>
  <si>
    <r>
      <t>budynki wielorodzinne
(lokale mieszkalne i garaże w tych budynkach
s</t>
    </r>
    <r>
      <rPr>
        <i/>
        <sz val="9"/>
        <color theme="1"/>
        <rFont val="Calibri"/>
        <family val="2"/>
        <charset val="238"/>
        <scheme val="minor"/>
      </rPr>
      <t>tawka * metraż lokali*8m-cy</t>
    </r>
  </si>
  <si>
    <r>
      <t xml:space="preserve">budynki garażowe
</t>
    </r>
    <r>
      <rPr>
        <i/>
        <sz val="9"/>
        <color theme="1"/>
        <rFont val="Calibri"/>
        <family val="2"/>
        <charset val="238"/>
        <scheme val="minor"/>
      </rPr>
      <t>stawka * metraż*8m-cy</t>
    </r>
  </si>
  <si>
    <t>Lokale mieszkalne</t>
  </si>
  <si>
    <t>Eksploatacja - energia elektryczna + części wspólne</t>
  </si>
  <si>
    <r>
      <t xml:space="preserve">budynki wielorodzinne
(lokale mieszkalne i garaże w tych budynkach
</t>
    </r>
    <r>
      <rPr>
        <sz val="9"/>
        <color rgb="FFFF0000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 xml:space="preserve">(kol. 2+kol.3+kol.7)
</t>
    </r>
  </si>
  <si>
    <r>
      <t xml:space="preserve">budynki garażowe
</t>
    </r>
    <r>
      <rPr>
        <i/>
        <sz val="9"/>
        <color theme="1"/>
        <rFont val="Calibri"/>
        <family val="2"/>
        <charset val="238"/>
        <scheme val="minor"/>
      </rPr>
      <t xml:space="preserve"> (kol. 4+kol.5+kol.8)</t>
    </r>
  </si>
  <si>
    <r>
      <t xml:space="preserve">budynki garażowe
</t>
    </r>
    <r>
      <rPr>
        <i/>
        <sz val="9"/>
        <color theme="1"/>
        <rFont val="Calibri"/>
        <family val="2"/>
        <charset val="238"/>
        <scheme val="minor"/>
      </rPr>
      <t>(kol.16)/metraż lokali/4 m-ce</t>
    </r>
  </si>
  <si>
    <r>
      <t xml:space="preserve">budynki wielorodzinne
(lokale mieszkalne i garaże w tych budynkach)
</t>
    </r>
    <r>
      <rPr>
        <i/>
        <sz val="9"/>
        <color theme="1"/>
        <rFont val="Calibri"/>
        <family val="2"/>
        <charset val="238"/>
        <scheme val="minor"/>
      </rPr>
      <t xml:space="preserve">(kol. 15)/metraż lokali/4 m-ce
</t>
    </r>
  </si>
  <si>
    <r>
      <t xml:space="preserve">budynki wielorodzinne
(lokale mieszkalne i garaże w tych budynkach)
</t>
    </r>
    <r>
      <rPr>
        <i/>
        <sz val="9"/>
        <color theme="1"/>
        <rFont val="Calibri"/>
        <family val="2"/>
        <charset val="238"/>
        <scheme val="minor"/>
      </rPr>
      <t>307 085/metraż lokali/12 m-cy</t>
    </r>
  </si>
  <si>
    <r>
      <t xml:space="preserve">KOSZTY (zależne i en.el.) EKSPLOATACJI I UTRZYMANIA NIERUCHOMOŚCI WSPÓLNEJ W BUDYNKACH MIESZKALNYCH WIELORODZINNYCH I BUDYNKACH GARAŻOWYCH
</t>
    </r>
    <r>
      <rPr>
        <b/>
        <i/>
        <sz val="14"/>
        <color rgb="FFFF0000"/>
        <rFont val="Calibri"/>
        <family val="2"/>
        <charset val="238"/>
        <scheme val="minor"/>
      </rPr>
      <t>(dotyczą tylko lokali mieszkalnych w budynkach wielorodzinnych i garaży w budynkach garażowych i w budynkach wielorodzinnych)</t>
    </r>
  </si>
  <si>
    <t>(koszty dotyczą wszystkich osób zamieszkujących w Osiedlu Zacisze - lokali mieszkalnych w budynkach wielorodzinnych i domach jednorodzinnych)</t>
  </si>
  <si>
    <r>
      <t xml:space="preserve">Lok. mieszkalne domy jednorodzinne
</t>
    </r>
    <r>
      <rPr>
        <i/>
        <sz val="8"/>
        <color theme="1"/>
        <rFont val="Calibri"/>
        <family val="2"/>
        <charset val="238"/>
        <scheme val="minor"/>
      </rPr>
      <t>(kol.13+2x97 876-nadwyżka bilansowa)/liczba lokali/28 m-cy</t>
    </r>
  </si>
  <si>
    <t xml:space="preserve">KALKULACJA STAWKI 
 OBOWIĄZUJĄCEJ 
OD 1.09.2020
DO 31.12.2021 
(mieszkania)
OD 1.09.2020
DO 31.12.2022
(domy jednorodzinne)
</t>
  </si>
  <si>
    <r>
      <t xml:space="preserve">budynki garażowe
</t>
    </r>
    <r>
      <rPr>
        <i/>
        <sz val="9"/>
        <color theme="1"/>
        <rFont val="Calibri"/>
        <family val="2"/>
        <charset val="238"/>
        <scheme val="minor"/>
      </rPr>
      <t>kol. 10- kol. 13</t>
    </r>
  </si>
  <si>
    <r>
      <t xml:space="preserve">budynki wielorodzinne
(lokale mieszkalne i garaże w tych budynkach)
  </t>
    </r>
    <r>
      <rPr>
        <i/>
        <sz val="9"/>
        <color theme="1"/>
        <rFont val="Calibri"/>
        <family val="2"/>
        <charset val="238"/>
        <scheme val="minor"/>
      </rPr>
      <t>kol. 9-kol. 12</t>
    </r>
  </si>
  <si>
    <r>
      <t xml:space="preserve">budynki wielorodzinne
(lokale mieszkalne i garaże w tych budynkach)
(prognozowany koszt roku 2021 -307 085 zł)
</t>
    </r>
    <r>
      <rPr>
        <i/>
        <sz val="9"/>
        <color theme="1"/>
        <rFont val="Calibri"/>
        <family val="2"/>
        <charset val="238"/>
        <scheme val="minor"/>
      </rPr>
      <t>307 085+kol.14)/metraż lokali/16 m-cy</t>
    </r>
  </si>
  <si>
    <r>
      <t xml:space="preserve">budynki garażowe
</t>
    </r>
    <r>
      <rPr>
        <i/>
        <sz val="9"/>
        <color theme="1"/>
        <rFont val="Calibri"/>
        <family val="2"/>
        <charset val="238"/>
        <scheme val="minor"/>
      </rPr>
      <t>18 384/metraż lokali/12 m-cy</t>
    </r>
  </si>
  <si>
    <r>
      <t xml:space="preserve">budynki garażowe
(prognozowany koszt roku 2021 -18 384 zł)
</t>
    </r>
    <r>
      <rPr>
        <i/>
        <sz val="9"/>
        <color theme="1"/>
        <rFont val="Calibri"/>
        <family val="2"/>
        <charset val="238"/>
        <scheme val="minor"/>
      </rPr>
      <t>18 384+kol.15/metraż lokali/16 m-cy</t>
    </r>
  </si>
  <si>
    <t>WYMAGANE PRZYCHODY 
Z TYTUŁU OPŁAT NA POKRYCIE KOSZTÓW
IX-XII 2020</t>
  </si>
  <si>
    <t>Przyjęto kalkulację stawki  rozłożoną w czasie, żeby rozliczanie niedoborów było mniej dotkliwe dla mieszkańców. Ze względu na większe niedobory występujace w przypadku domów jednorodzinnych, kalkulacja dla domów jednorodzinncyh obejmuje dłuższy okres.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</si>
</sst>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rgb="FF00B05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8"/>
      <color rgb="FF00B05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theme="9" tint="-0.249977111117893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51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4" fontId="6" fillId="0" borderId="23" xfId="0" applyNumberFormat="1" applyFont="1" applyBorder="1" applyAlignment="1">
      <alignment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4" fontId="0" fillId="4" borderId="17" xfId="0" applyNumberFormat="1" applyFill="1" applyBorder="1" applyAlignment="1"/>
    <xf numFmtId="0" fontId="10" fillId="0" borderId="21" xfId="0" applyFont="1" applyBorder="1" applyAlignment="1">
      <alignment horizontal="center"/>
    </xf>
    <xf numFmtId="0" fontId="0" fillId="0" borderId="30" xfId="0" applyBorder="1" applyAlignment="1">
      <alignment wrapText="1"/>
    </xf>
    <xf numFmtId="4" fontId="0" fillId="2" borderId="34" xfId="0" applyNumberFormat="1" applyFill="1" applyBorder="1" applyAlignment="1"/>
    <xf numFmtId="0" fontId="0" fillId="0" borderId="30" xfId="0" applyBorder="1"/>
    <xf numFmtId="0" fontId="0" fillId="0" borderId="24" xfId="0" applyBorder="1"/>
    <xf numFmtId="4" fontId="6" fillId="0" borderId="15" xfId="0" applyNumberFormat="1" applyFont="1" applyBorder="1" applyAlignment="1">
      <alignment vertical="center" wrapText="1"/>
    </xf>
    <xf numFmtId="4" fontId="0" fillId="0" borderId="15" xfId="0" applyNumberFormat="1" applyBorder="1" applyAlignment="1"/>
    <xf numFmtId="4" fontId="0" fillId="0" borderId="13" xfId="0" applyNumberFormat="1" applyBorder="1" applyAlignment="1"/>
    <xf numFmtId="4" fontId="1" fillId="4" borderId="18" xfId="0" applyNumberFormat="1" applyFont="1" applyFill="1" applyBorder="1" applyAlignment="1"/>
    <xf numFmtId="4" fontId="11" fillId="4" borderId="17" xfId="0" applyNumberFormat="1" applyFont="1" applyFill="1" applyBorder="1" applyAlignment="1"/>
    <xf numFmtId="1" fontId="9" fillId="0" borderId="4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wrapText="1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right" vertical="center"/>
    </xf>
    <xf numFmtId="4" fontId="0" fillId="3" borderId="10" xfId="0" applyNumberFormat="1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164" fontId="1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2" fillId="0" borderId="0" xfId="0" applyFont="1"/>
    <xf numFmtId="4" fontId="6" fillId="0" borderId="0" xfId="0" applyNumberFormat="1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4" fontId="2" fillId="4" borderId="15" xfId="0" applyNumberFormat="1" applyFont="1" applyFill="1" applyBorder="1"/>
    <xf numFmtId="4" fontId="0" fillId="4" borderId="34" xfId="0" applyNumberFormat="1" applyFill="1" applyBorder="1" applyAlignment="1"/>
    <xf numFmtId="4" fontId="13" fillId="4" borderId="15" xfId="0" applyNumberFormat="1" applyFont="1" applyFill="1" applyBorder="1" applyAlignment="1"/>
    <xf numFmtId="4" fontId="1" fillId="4" borderId="17" xfId="0" applyNumberFormat="1" applyFont="1" applyFill="1" applyBorder="1" applyAlignment="1"/>
    <xf numFmtId="4" fontId="0" fillId="0" borderId="0" xfId="0" applyNumberFormat="1" applyFill="1" applyBorder="1" applyAlignment="1"/>
    <xf numFmtId="0" fontId="2" fillId="0" borderId="0" xfId="0" applyFont="1" applyBorder="1" applyAlignment="1">
      <alignment vertical="center" textRotation="90" wrapText="1"/>
    </xf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3" fontId="0" fillId="0" borderId="23" xfId="0" applyNumberFormat="1" applyFont="1" applyBorder="1" applyAlignment="1">
      <alignment horizontal="center"/>
    </xf>
    <xf numFmtId="0" fontId="2" fillId="0" borderId="24" xfId="0" applyFont="1" applyBorder="1"/>
    <xf numFmtId="0" fontId="2" fillId="3" borderId="11" xfId="0" applyFont="1" applyFill="1" applyBorder="1"/>
    <xf numFmtId="1" fontId="9" fillId="0" borderId="38" xfId="0" applyNumberFormat="1" applyFont="1" applyBorder="1" applyAlignment="1">
      <alignment horizontal="center" vertical="center" wrapText="1"/>
    </xf>
    <xf numFmtId="1" fontId="9" fillId="0" borderId="40" xfId="0" applyNumberFormat="1" applyFont="1" applyBorder="1" applyAlignment="1">
      <alignment horizontal="center" vertical="center" wrapText="1"/>
    </xf>
    <xf numFmtId="1" fontId="9" fillId="0" borderId="41" xfId="0" applyNumberFormat="1" applyFont="1" applyBorder="1" applyAlignment="1">
      <alignment horizontal="center" vertical="center" wrapText="1"/>
    </xf>
    <xf numFmtId="1" fontId="9" fillId="0" borderId="42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/>
    <xf numFmtId="0" fontId="0" fillId="0" borderId="40" xfId="0" applyBorder="1"/>
    <xf numFmtId="4" fontId="1" fillId="0" borderId="41" xfId="0" applyNumberFormat="1" applyFont="1" applyBorder="1"/>
    <xf numFmtId="4" fontId="2" fillId="3" borderId="36" xfId="0" applyNumberFormat="1" applyFont="1" applyFill="1" applyBorder="1"/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0" fillId="0" borderId="38" xfId="0" applyBorder="1"/>
    <xf numFmtId="0" fontId="0" fillId="5" borderId="51" xfId="0" applyFill="1" applyBorder="1"/>
    <xf numFmtId="2" fontId="0" fillId="5" borderId="37" xfId="0" applyNumberFormat="1" applyFill="1" applyBorder="1"/>
    <xf numFmtId="0" fontId="0" fillId="0" borderId="17" xfId="0" applyBorder="1"/>
    <xf numFmtId="0" fontId="2" fillId="0" borderId="5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6" fillId="0" borderId="42" xfId="0" applyFont="1" applyBorder="1"/>
    <xf numFmtId="0" fontId="0" fillId="0" borderId="51" xfId="0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18" xfId="0" applyNumberFormat="1" applyBorder="1"/>
    <xf numFmtId="2" fontId="0" fillId="0" borderId="42" xfId="0" applyNumberFormat="1" applyBorder="1"/>
    <xf numFmtId="0" fontId="2" fillId="0" borderId="4" xfId="0" applyFont="1" applyBorder="1" applyAlignment="1">
      <alignment horizontal="center" vertical="top"/>
    </xf>
    <xf numFmtId="0" fontId="0" fillId="0" borderId="58" xfId="0" applyBorder="1"/>
    <xf numFmtId="0" fontId="0" fillId="0" borderId="68" xfId="0" applyBorder="1" applyAlignment="1">
      <alignment horizontal="center"/>
    </xf>
    <xf numFmtId="0" fontId="0" fillId="5" borderId="68" xfId="0" applyFill="1" applyBorder="1"/>
    <xf numFmtId="0" fontId="2" fillId="0" borderId="45" xfId="0" applyFont="1" applyBorder="1" applyAlignment="1">
      <alignment horizontal="center" vertical="top" wrapText="1"/>
    </xf>
    <xf numFmtId="0" fontId="0" fillId="0" borderId="57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6" xfId="0" applyBorder="1" applyAlignment="1">
      <alignment wrapText="1"/>
    </xf>
    <xf numFmtId="0" fontId="0" fillId="5" borderId="35" xfId="0" applyFill="1" applyBorder="1" applyAlignment="1">
      <alignment wrapText="1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48" xfId="0" applyNumberFormat="1" applyFont="1" applyBorder="1" applyAlignment="1">
      <alignment horizontal="center" vertical="center" wrapText="1"/>
    </xf>
    <xf numFmtId="1" fontId="9" fillId="0" borderId="37" xfId="0" applyNumberFormat="1" applyFont="1" applyBorder="1" applyAlignment="1">
      <alignment horizontal="center" vertical="center" wrapText="1"/>
    </xf>
    <xf numFmtId="1" fontId="9" fillId="0" borderId="5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3" borderId="11" xfId="0" applyFont="1" applyFill="1" applyBorder="1" applyAlignment="1">
      <alignment horizontal="right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4" fontId="0" fillId="0" borderId="17" xfId="0" applyNumberFormat="1" applyFont="1" applyBorder="1" applyAlignment="1">
      <alignment horizontal="right" vertical="center"/>
    </xf>
    <xf numFmtId="0" fontId="2" fillId="0" borderId="57" xfId="0" applyFont="1" applyBorder="1" applyAlignment="1">
      <alignment horizontal="left" vertical="center" wrapText="1"/>
    </xf>
    <xf numFmtId="4" fontId="2" fillId="2" borderId="59" xfId="0" applyNumberFormat="1" applyFont="1" applyFill="1" applyBorder="1" applyAlignment="1">
      <alignment horizontal="right" vertical="center"/>
    </xf>
    <xf numFmtId="0" fontId="0" fillId="0" borderId="69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42" xfId="0" applyFont="1" applyBorder="1" applyAlignment="1">
      <alignment horizontal="right" vertical="center"/>
    </xf>
    <xf numFmtId="0" fontId="2" fillId="3" borderId="35" xfId="0" applyFont="1" applyFill="1" applyBorder="1" applyAlignment="1">
      <alignment horizontal="center" vertical="center"/>
    </xf>
    <xf numFmtId="4" fontId="2" fillId="3" borderId="43" xfId="0" applyNumberFormat="1" applyFont="1" applyFill="1" applyBorder="1" applyAlignment="1">
      <alignment horizontal="right" vertical="center"/>
    </xf>
    <xf numFmtId="0" fontId="2" fillId="3" borderId="44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/>
    </xf>
    <xf numFmtId="0" fontId="0" fillId="3" borderId="68" xfId="0" applyFont="1" applyFill="1" applyBorder="1" applyAlignment="1">
      <alignment horizontal="center"/>
    </xf>
    <xf numFmtId="0" fontId="0" fillId="3" borderId="51" xfId="0" applyFont="1" applyFill="1" applyBorder="1" applyAlignment="1">
      <alignment horizontal="right" vertical="center"/>
    </xf>
    <xf numFmtId="0" fontId="0" fillId="3" borderId="51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right" vertical="center"/>
    </xf>
    <xf numFmtId="4" fontId="2" fillId="3" borderId="37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4" fontId="2" fillId="3" borderId="51" xfId="0" applyNumberFormat="1" applyFont="1" applyFill="1" applyBorder="1" applyAlignment="1">
      <alignment horizontal="right" vertical="center"/>
    </xf>
    <xf numFmtId="4" fontId="0" fillId="0" borderId="42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vertical="top" wrapText="1"/>
    </xf>
    <xf numFmtId="4" fontId="6" fillId="0" borderId="24" xfId="0" applyNumberFormat="1" applyFont="1" applyBorder="1" applyAlignment="1">
      <alignment vertical="top" wrapText="1"/>
    </xf>
    <xf numFmtId="4" fontId="6" fillId="4" borderId="24" xfId="0" applyNumberFormat="1" applyFont="1" applyFill="1" applyBorder="1" applyAlignment="1">
      <alignment vertical="top" wrapText="1"/>
    </xf>
    <xf numFmtId="4" fontId="6" fillId="4" borderId="23" xfId="0" applyNumberFormat="1" applyFont="1" applyFill="1" applyBorder="1" applyAlignment="1">
      <alignment vertical="top" wrapText="1"/>
    </xf>
    <xf numFmtId="4" fontId="6" fillId="0" borderId="21" xfId="0" applyNumberFormat="1" applyFont="1" applyBorder="1" applyAlignment="1">
      <alignment vertical="top" wrapText="1"/>
    </xf>
    <xf numFmtId="4" fontId="6" fillId="0" borderId="21" xfId="0" applyNumberFormat="1" applyFont="1" applyBorder="1" applyAlignment="1">
      <alignment horizontal="center" vertical="top" wrapText="1"/>
    </xf>
    <xf numFmtId="4" fontId="6" fillId="0" borderId="30" xfId="0" applyNumberFormat="1" applyFont="1" applyBorder="1" applyAlignment="1">
      <alignment vertical="top" wrapText="1"/>
    </xf>
    <xf numFmtId="4" fontId="12" fillId="2" borderId="34" xfId="0" applyNumberFormat="1" applyFont="1" applyFill="1" applyBorder="1" applyAlignment="1"/>
    <xf numFmtId="4" fontId="0" fillId="2" borderId="14" xfId="0" applyNumberFormat="1" applyFill="1" applyBorder="1" applyAlignment="1"/>
    <xf numFmtId="4" fontId="11" fillId="2" borderId="14" xfId="0" applyNumberFormat="1" applyFont="1" applyFill="1" applyBorder="1" applyAlignment="1"/>
    <xf numFmtId="4" fontId="0" fillId="9" borderId="70" xfId="0" applyNumberFormat="1" applyFill="1" applyBorder="1" applyAlignment="1"/>
    <xf numFmtId="4" fontId="0" fillId="9" borderId="66" xfId="0" applyNumberFormat="1" applyFill="1" applyBorder="1" applyAlignment="1"/>
    <xf numFmtId="4" fontId="0" fillId="4" borderId="46" xfId="0" applyNumberFormat="1" applyFill="1" applyBorder="1" applyAlignment="1"/>
    <xf numFmtId="4" fontId="11" fillId="4" borderId="46" xfId="0" applyNumberFormat="1" applyFont="1" applyFill="1" applyBorder="1" applyAlignment="1"/>
    <xf numFmtId="4" fontId="11" fillId="4" borderId="70" xfId="0" applyNumberFormat="1" applyFont="1" applyFill="1" applyBorder="1" applyAlignment="1"/>
    <xf numFmtId="4" fontId="15" fillId="0" borderId="22" xfId="0" applyNumberFormat="1" applyFont="1" applyBorder="1" applyAlignment="1">
      <alignment horizontal="center" vertical="top" wrapText="1"/>
    </xf>
    <xf numFmtId="4" fontId="0" fillId="4" borderId="66" xfId="0" applyNumberFormat="1" applyFill="1" applyBorder="1" applyAlignment="1"/>
    <xf numFmtId="4" fontId="6" fillId="0" borderId="23" xfId="0" applyNumberFormat="1" applyFont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center" vertical="top" wrapText="1"/>
    </xf>
    <xf numFmtId="4" fontId="0" fillId="0" borderId="0" xfId="0" applyNumberFormat="1"/>
    <xf numFmtId="4" fontId="13" fillId="4" borderId="41" xfId="0" applyNumberFormat="1" applyFont="1" applyFill="1" applyBorder="1"/>
    <xf numFmtId="4" fontId="0" fillId="9" borderId="46" xfId="0" applyNumberFormat="1" applyFont="1" applyFill="1" applyBorder="1" applyAlignment="1"/>
    <xf numFmtId="4" fontId="0" fillId="4" borderId="46" xfId="0" applyNumberFormat="1" applyFont="1" applyFill="1" applyBorder="1" applyAlignment="1"/>
    <xf numFmtId="4" fontId="0" fillId="9" borderId="70" xfId="0" applyNumberFormat="1" applyFont="1" applyFill="1" applyBorder="1" applyAlignment="1"/>
    <xf numFmtId="4" fontId="0" fillId="4" borderId="38" xfId="0" applyNumberFormat="1" applyFont="1" applyFill="1" applyBorder="1" applyAlignment="1"/>
    <xf numFmtId="4" fontId="0" fillId="4" borderId="40" xfId="0" applyNumberFormat="1" applyFont="1" applyFill="1" applyBorder="1" applyAlignment="1"/>
    <xf numFmtId="4" fontId="2" fillId="4" borderId="41" xfId="0" applyNumberFormat="1" applyFont="1" applyFill="1" applyBorder="1" applyAlignment="1"/>
    <xf numFmtId="4" fontId="0" fillId="4" borderId="42" xfId="0" applyNumberFormat="1" applyFill="1" applyBorder="1" applyAlignment="1"/>
    <xf numFmtId="4" fontId="0" fillId="3" borderId="51" xfId="0" applyNumberFormat="1" applyFont="1" applyFill="1" applyBorder="1" applyAlignment="1"/>
    <xf numFmtId="4" fontId="2" fillId="9" borderId="51" xfId="0" applyNumberFormat="1" applyFont="1" applyFill="1" applyBorder="1" applyAlignment="1"/>
    <xf numFmtId="4" fontId="2" fillId="9" borderId="48" xfId="0" applyNumberFormat="1" applyFont="1" applyFill="1" applyBorder="1" applyAlignment="1"/>
    <xf numFmtId="4" fontId="2" fillId="9" borderId="37" xfId="0" applyNumberFormat="1" applyFont="1" applyFill="1" applyBorder="1" applyAlignment="1"/>
    <xf numFmtId="4" fontId="0" fillId="3" borderId="48" xfId="0" applyNumberFormat="1" applyFont="1" applyFill="1" applyBorder="1" applyAlignment="1"/>
    <xf numFmtId="4" fontId="2" fillId="3" borderId="36" xfId="0" applyNumberFormat="1" applyFont="1" applyFill="1" applyBorder="1" applyAlignment="1"/>
    <xf numFmtId="4" fontId="2" fillId="3" borderId="35" xfId="0" applyNumberFormat="1" applyFont="1" applyFill="1" applyBorder="1" applyAlignment="1"/>
    <xf numFmtId="4" fontId="0" fillId="4" borderId="16" xfId="0" applyNumberFormat="1" applyFill="1" applyBorder="1" applyAlignment="1"/>
    <xf numFmtId="4" fontId="0" fillId="8" borderId="72" xfId="0" applyNumberFormat="1" applyFill="1" applyBorder="1" applyAlignment="1"/>
    <xf numFmtId="0" fontId="2" fillId="0" borderId="6" xfId="0" applyFont="1" applyBorder="1" applyAlignment="1">
      <alignment horizontal="left" vertical="top" wrapText="1"/>
    </xf>
    <xf numFmtId="4" fontId="0" fillId="4" borderId="23" xfId="0" applyNumberFormat="1" applyFill="1" applyBorder="1" applyAlignment="1"/>
    <xf numFmtId="1" fontId="9" fillId="0" borderId="59" xfId="0" applyNumberFormat="1" applyFont="1" applyBorder="1" applyAlignment="1">
      <alignment horizontal="center" vertical="center" wrapText="1"/>
    </xf>
    <xf numFmtId="1" fontId="9" fillId="0" borderId="58" xfId="0" applyNumberFormat="1" applyFont="1" applyBorder="1" applyAlignment="1">
      <alignment horizontal="center" vertical="center" wrapText="1"/>
    </xf>
    <xf numFmtId="4" fontId="0" fillId="2" borderId="30" xfId="0" applyNumberFormat="1" applyFill="1" applyBorder="1" applyAlignment="1"/>
    <xf numFmtId="4" fontId="0" fillId="4" borderId="46" xfId="0" applyNumberFormat="1" applyFill="1" applyBorder="1"/>
    <xf numFmtId="4" fontId="0" fillId="2" borderId="20" xfId="0" applyNumberFormat="1" applyFill="1" applyBorder="1" applyAlignment="1"/>
    <xf numFmtId="49" fontId="21" fillId="0" borderId="30" xfId="0" applyNumberFormat="1" applyFont="1" applyBorder="1" applyAlignment="1">
      <alignment wrapText="1"/>
    </xf>
    <xf numFmtId="4" fontId="13" fillId="4" borderId="52" xfId="0" applyNumberFormat="1" applyFont="1" applyFill="1" applyBorder="1" applyAlignment="1">
      <alignment wrapText="1"/>
    </xf>
    <xf numFmtId="4" fontId="0" fillId="8" borderId="72" xfId="0" applyNumberFormat="1" applyFont="1" applyFill="1" applyBorder="1" applyAlignment="1"/>
    <xf numFmtId="4" fontId="0" fillId="4" borderId="38" xfId="0" applyNumberFormat="1" applyFont="1" applyFill="1" applyBorder="1"/>
    <xf numFmtId="4" fontId="2" fillId="9" borderId="46" xfId="0" applyNumberFormat="1" applyFont="1" applyFill="1" applyBorder="1"/>
    <xf numFmtId="4" fontId="2" fillId="4" borderId="59" xfId="0" applyNumberFormat="1" applyFont="1" applyFill="1" applyBorder="1" applyAlignment="1"/>
    <xf numFmtId="4" fontId="0" fillId="9" borderId="72" xfId="0" applyNumberFormat="1" applyFont="1" applyFill="1" applyBorder="1" applyAlignment="1"/>
    <xf numFmtId="4" fontId="2" fillId="9" borderId="46" xfId="0" applyNumberFormat="1" applyFont="1" applyFill="1" applyBorder="1" applyAlignment="1"/>
    <xf numFmtId="4" fontId="6" fillId="0" borderId="13" xfId="0" applyNumberFormat="1" applyFont="1" applyBorder="1" applyAlignment="1">
      <alignment vertical="center" wrapText="1"/>
    </xf>
    <xf numFmtId="4" fontId="6" fillId="0" borderId="34" xfId="0" applyNumberFormat="1" applyFont="1" applyBorder="1" applyAlignment="1">
      <alignment vertical="center" wrapText="1"/>
    </xf>
    <xf numFmtId="4" fontId="0" fillId="4" borderId="20" xfId="0" applyNumberFormat="1" applyFill="1" applyBorder="1" applyAlignment="1"/>
    <xf numFmtId="4" fontId="14" fillId="4" borderId="65" xfId="0" applyNumberFormat="1" applyFont="1" applyFill="1" applyBorder="1" applyAlignment="1"/>
    <xf numFmtId="4" fontId="0" fillId="0" borderId="0" xfId="0" applyNumberFormat="1" applyBorder="1" applyAlignment="1"/>
    <xf numFmtId="4" fontId="0" fillId="0" borderId="70" xfId="0" applyNumberFormat="1" applyBorder="1" applyAlignment="1"/>
    <xf numFmtId="4" fontId="0" fillId="0" borderId="46" xfId="0" applyNumberFormat="1" applyBorder="1" applyAlignment="1"/>
    <xf numFmtId="4" fontId="0" fillId="4" borderId="72" xfId="0" applyNumberFormat="1" applyFill="1" applyBorder="1" applyAlignment="1"/>
    <xf numFmtId="4" fontId="0" fillId="4" borderId="76" xfId="0" applyNumberFormat="1" applyFill="1" applyBorder="1" applyAlignment="1"/>
    <xf numFmtId="4" fontId="2" fillId="4" borderId="71" xfId="0" applyNumberFormat="1" applyFont="1" applyFill="1" applyBorder="1" applyAlignment="1"/>
    <xf numFmtId="4" fontId="2" fillId="4" borderId="0" xfId="0" applyNumberFormat="1" applyFont="1" applyFill="1" applyBorder="1" applyAlignment="1"/>
    <xf numFmtId="4" fontId="14" fillId="4" borderId="77" xfId="0" applyNumberFormat="1" applyFont="1" applyFill="1" applyBorder="1" applyAlignment="1"/>
    <xf numFmtId="4" fontId="0" fillId="0" borderId="29" xfId="0" applyNumberFormat="1" applyBorder="1" applyAlignment="1"/>
    <xf numFmtId="4" fontId="6" fillId="0" borderId="17" xfId="0" applyNumberFormat="1" applyFont="1" applyBorder="1" applyAlignment="1">
      <alignment vertical="top" wrapText="1"/>
    </xf>
    <xf numFmtId="4" fontId="6" fillId="0" borderId="34" xfId="0" applyNumberFormat="1" applyFont="1" applyBorder="1" applyAlignment="1">
      <alignment vertical="top" wrapText="1"/>
    </xf>
    <xf numFmtId="4" fontId="20" fillId="4" borderId="54" xfId="0" applyNumberFormat="1" applyFont="1" applyFill="1" applyBorder="1" applyAlignment="1"/>
    <xf numFmtId="4" fontId="5" fillId="0" borderId="5" xfId="0" applyNumberFormat="1" applyFont="1" applyFill="1" applyBorder="1" applyAlignment="1">
      <alignment horizontal="center" vertical="center" wrapText="1"/>
    </xf>
    <xf numFmtId="4" fontId="1" fillId="4" borderId="72" xfId="0" applyNumberFormat="1" applyFont="1" applyFill="1" applyBorder="1" applyAlignment="1"/>
    <xf numFmtId="4" fontId="0" fillId="0" borderId="70" xfId="0" applyNumberFormat="1" applyFont="1" applyBorder="1" applyAlignment="1"/>
    <xf numFmtId="4" fontId="5" fillId="10" borderId="53" xfId="0" applyNumberFormat="1" applyFont="1" applyFill="1" applyBorder="1" applyAlignment="1">
      <alignment horizontal="center" vertical="top" wrapText="1"/>
    </xf>
    <xf numFmtId="4" fontId="5" fillId="7" borderId="75" xfId="0" applyNumberFormat="1" applyFont="1" applyFill="1" applyBorder="1" applyAlignment="1">
      <alignment vertical="center" wrapText="1"/>
    </xf>
    <xf numFmtId="4" fontId="5" fillId="7" borderId="72" xfId="0" applyNumberFormat="1" applyFont="1" applyFill="1" applyBorder="1" applyAlignment="1">
      <alignment vertical="center" wrapText="1"/>
    </xf>
    <xf numFmtId="4" fontId="5" fillId="7" borderId="74" xfId="0" applyNumberFormat="1" applyFont="1" applyFill="1" applyBorder="1" applyAlignment="1">
      <alignment vertical="center" wrapText="1"/>
    </xf>
    <xf numFmtId="4" fontId="5" fillId="7" borderId="71" xfId="0" applyNumberFormat="1" applyFont="1" applyFill="1" applyBorder="1" applyAlignment="1">
      <alignment vertical="center" wrapText="1"/>
    </xf>
    <xf numFmtId="4" fontId="5" fillId="7" borderId="46" xfId="0" applyNumberFormat="1" applyFont="1" applyFill="1" applyBorder="1" applyAlignment="1">
      <alignment vertical="center" wrapText="1"/>
    </xf>
    <xf numFmtId="4" fontId="5" fillId="7" borderId="66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10" borderId="46" xfId="0" applyNumberFormat="1" applyFont="1" applyFill="1" applyBorder="1" applyAlignment="1">
      <alignment vertical="center" wrapText="1"/>
    </xf>
    <xf numFmtId="4" fontId="1" fillId="4" borderId="76" xfId="0" applyNumberFormat="1" applyFont="1" applyFill="1" applyBorder="1" applyAlignment="1"/>
    <xf numFmtId="4" fontId="5" fillId="7" borderId="77" xfId="0" applyNumberFormat="1" applyFont="1" applyFill="1" applyBorder="1" applyAlignment="1">
      <alignment vertical="center" wrapText="1"/>
    </xf>
    <xf numFmtId="4" fontId="5" fillId="10" borderId="29" xfId="0" applyNumberFormat="1" applyFont="1" applyFill="1" applyBorder="1" applyAlignment="1">
      <alignment vertical="center" wrapText="1"/>
    </xf>
    <xf numFmtId="4" fontId="5" fillId="0" borderId="63" xfId="0" applyNumberFormat="1" applyFont="1" applyFill="1" applyBorder="1" applyAlignment="1">
      <alignment vertical="center" wrapText="1"/>
    </xf>
    <xf numFmtId="4" fontId="5" fillId="7" borderId="65" xfId="0" applyNumberFormat="1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top" wrapText="1"/>
    </xf>
    <xf numFmtId="1" fontId="9" fillId="0" borderId="69" xfId="0" applyNumberFormat="1" applyFont="1" applyBorder="1" applyAlignment="1">
      <alignment horizontal="center" vertical="center" wrapText="1"/>
    </xf>
    <xf numFmtId="4" fontId="13" fillId="4" borderId="3" xfId="0" applyNumberFormat="1" applyFont="1" applyFill="1" applyBorder="1" applyAlignment="1"/>
    <xf numFmtId="4" fontId="1" fillId="0" borderId="14" xfId="0" applyNumberFormat="1" applyFont="1" applyBorder="1" applyAlignment="1"/>
    <xf numFmtId="4" fontId="1" fillId="0" borderId="69" xfId="0" applyNumberFormat="1" applyFont="1" applyBorder="1" applyAlignment="1"/>
    <xf numFmtId="4" fontId="13" fillId="4" borderId="69" xfId="0" applyNumberFormat="1" applyFont="1" applyFill="1" applyBorder="1" applyAlignment="1"/>
    <xf numFmtId="4" fontId="2" fillId="4" borderId="52" xfId="0" applyNumberFormat="1" applyFont="1" applyFill="1" applyBorder="1" applyAlignment="1"/>
    <xf numFmtId="4" fontId="2" fillId="4" borderId="2" xfId="0" applyNumberFormat="1" applyFont="1" applyFill="1" applyBorder="1" applyAlignment="1"/>
    <xf numFmtId="4" fontId="5" fillId="10" borderId="15" xfId="0" applyNumberFormat="1" applyFont="1" applyFill="1" applyBorder="1" applyAlignment="1">
      <alignment vertical="top" wrapText="1"/>
    </xf>
    <xf numFmtId="4" fontId="5" fillId="10" borderId="17" xfId="0" applyNumberFormat="1" applyFont="1" applyFill="1" applyBorder="1" applyAlignment="1">
      <alignment vertical="top" wrapText="1"/>
    </xf>
    <xf numFmtId="4" fontId="5" fillId="0" borderId="18" xfId="0" applyNumberFormat="1" applyFont="1" applyFill="1" applyBorder="1" applyAlignment="1">
      <alignment vertical="top" wrapText="1"/>
    </xf>
    <xf numFmtId="4" fontId="13" fillId="3" borderId="39" xfId="0" applyNumberFormat="1" applyFont="1" applyFill="1" applyBorder="1" applyAlignment="1">
      <alignment horizontal="right" vertical="center"/>
    </xf>
    <xf numFmtId="4" fontId="13" fillId="3" borderId="51" xfId="0" applyNumberFormat="1" applyFont="1" applyFill="1" applyBorder="1" applyAlignment="1">
      <alignment horizontal="right" vertical="center"/>
    </xf>
    <xf numFmtId="4" fontId="13" fillId="3" borderId="44" xfId="0" applyNumberFormat="1" applyFont="1" applyFill="1" applyBorder="1" applyAlignment="1">
      <alignment horizontal="right" vertical="center"/>
    </xf>
    <xf numFmtId="4" fontId="2" fillId="3" borderId="36" xfId="0" applyNumberFormat="1" applyFont="1" applyFill="1" applyBorder="1" applyAlignment="1">
      <alignment horizontal="right" vertical="center"/>
    </xf>
    <xf numFmtId="4" fontId="14" fillId="3" borderId="36" xfId="0" applyNumberFormat="1" applyFont="1" applyFill="1" applyBorder="1" applyAlignment="1">
      <alignment horizontal="right" vertical="center"/>
    </xf>
    <xf numFmtId="4" fontId="2" fillId="3" borderId="48" xfId="0" applyNumberFormat="1" applyFont="1" applyFill="1" applyBorder="1" applyAlignment="1">
      <alignment horizontal="right" vertical="center"/>
    </xf>
    <xf numFmtId="4" fontId="16" fillId="0" borderId="37" xfId="0" applyNumberFormat="1" applyFont="1" applyFill="1" applyBorder="1" applyAlignment="1">
      <alignment horizontal="right" vertical="center" wrapText="1"/>
    </xf>
    <xf numFmtId="4" fontId="0" fillId="0" borderId="16" xfId="0" applyNumberFormat="1" applyBorder="1"/>
    <xf numFmtId="4" fontId="0" fillId="0" borderId="58" xfId="0" applyNumberFormat="1" applyBorder="1"/>
    <xf numFmtId="0" fontId="32" fillId="0" borderId="0" xfId="0" applyFont="1"/>
    <xf numFmtId="4" fontId="11" fillId="4" borderId="61" xfId="0" applyNumberFormat="1" applyFont="1" applyFill="1" applyBorder="1" applyAlignment="1"/>
    <xf numFmtId="4" fontId="2" fillId="2" borderId="8" xfId="0" applyNumberFormat="1" applyFont="1" applyFill="1" applyBorder="1"/>
    <xf numFmtId="4" fontId="0" fillId="2" borderId="32" xfId="0" applyNumberFormat="1" applyFill="1" applyBorder="1" applyAlignment="1"/>
    <xf numFmtId="4" fontId="2" fillId="4" borderId="34" xfId="0" applyNumberFormat="1" applyFont="1" applyFill="1" applyBorder="1" applyAlignment="1"/>
    <xf numFmtId="4" fontId="12" fillId="8" borderId="72" xfId="0" applyNumberFormat="1" applyFont="1" applyFill="1" applyBorder="1" applyAlignment="1"/>
    <xf numFmtId="4" fontId="2" fillId="4" borderId="14" xfId="0" applyNumberFormat="1" applyFont="1" applyFill="1" applyBorder="1" applyAlignment="1"/>
    <xf numFmtId="49" fontId="0" fillId="4" borderId="61" xfId="0" applyNumberFormat="1" applyFont="1" applyFill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vertical="top" wrapText="1"/>
    </xf>
    <xf numFmtId="4" fontId="36" fillId="4" borderId="16" xfId="0" applyNumberFormat="1" applyFont="1" applyFill="1" applyBorder="1" applyAlignment="1"/>
    <xf numFmtId="4" fontId="36" fillId="4" borderId="58" xfId="0" applyNumberFormat="1" applyFont="1" applyFill="1" applyBorder="1" applyAlignment="1"/>
    <xf numFmtId="1" fontId="9" fillId="0" borderId="9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4" fontId="0" fillId="4" borderId="17" xfId="0" applyNumberFormat="1" applyFill="1" applyBorder="1" applyAlignment="1"/>
    <xf numFmtId="4" fontId="0" fillId="2" borderId="34" xfId="0" applyNumberFormat="1" applyFill="1" applyBorder="1" applyAlignment="1"/>
    <xf numFmtId="4" fontId="0" fillId="0" borderId="21" xfId="0" applyNumberFormat="1" applyBorder="1" applyAlignment="1"/>
    <xf numFmtId="4" fontId="0" fillId="0" borderId="23" xfId="0" applyNumberFormat="1" applyBorder="1" applyAlignment="1"/>
    <xf numFmtId="4" fontId="13" fillId="4" borderId="15" xfId="0" applyNumberFormat="1" applyFont="1" applyFill="1" applyBorder="1"/>
    <xf numFmtId="4" fontId="1" fillId="0" borderId="21" xfId="0" applyNumberFormat="1" applyFont="1" applyBorder="1"/>
    <xf numFmtId="4" fontId="14" fillId="4" borderId="15" xfId="0" applyNumberFormat="1" applyFont="1" applyFill="1" applyBorder="1" applyAlignment="1"/>
    <xf numFmtId="4" fontId="11" fillId="4" borderId="17" xfId="0" applyNumberFormat="1" applyFont="1" applyFill="1" applyBorder="1" applyAlignment="1"/>
    <xf numFmtId="1" fontId="9" fillId="0" borderId="46" xfId="0" applyNumberFormat="1" applyFont="1" applyBorder="1" applyAlignment="1">
      <alignment horizontal="center" vertical="center" wrapText="1"/>
    </xf>
    <xf numFmtId="4" fontId="0" fillId="4" borderId="53" xfId="0" applyNumberFormat="1" applyFill="1" applyBorder="1" applyAlignment="1"/>
    <xf numFmtId="0" fontId="0" fillId="0" borderId="0" xfId="0" applyFill="1" applyBorder="1"/>
    <xf numFmtId="1" fontId="9" fillId="0" borderId="0" xfId="0" applyNumberFormat="1" applyFont="1" applyFill="1" applyBorder="1" applyAlignment="1">
      <alignment horizontal="center" vertical="center" wrapText="1"/>
    </xf>
    <xf numFmtId="4" fontId="0" fillId="4" borderId="18" xfId="0" applyNumberFormat="1" applyFill="1" applyBorder="1" applyAlignment="1"/>
    <xf numFmtId="4" fontId="0" fillId="0" borderId="0" xfId="0" applyNumberFormat="1" applyFill="1" applyBorder="1" applyAlignment="1"/>
    <xf numFmtId="4" fontId="0" fillId="0" borderId="24" xfId="0" applyNumberFormat="1" applyBorder="1" applyAlignment="1"/>
    <xf numFmtId="4" fontId="11" fillId="4" borderId="18" xfId="0" applyNumberFormat="1" applyFont="1" applyFill="1" applyBorder="1" applyAlignment="1"/>
    <xf numFmtId="4" fontId="0" fillId="0" borderId="9" xfId="0" applyNumberFormat="1" applyBorder="1" applyAlignment="1"/>
    <xf numFmtId="4" fontId="0" fillId="0" borderId="10" xfId="0" applyNumberFormat="1" applyBorder="1" applyAlignment="1"/>
    <xf numFmtId="4" fontId="0" fillId="0" borderId="11" xfId="0" applyNumberFormat="1" applyBorder="1" applyAlignment="1"/>
    <xf numFmtId="49" fontId="0" fillId="0" borderId="11" xfId="0" applyNumberFormat="1" applyFont="1" applyBorder="1" applyAlignment="1">
      <alignment wrapText="1"/>
    </xf>
    <xf numFmtId="1" fontId="9" fillId="0" borderId="65" xfId="0" applyNumberFormat="1" applyFont="1" applyBorder="1" applyAlignment="1">
      <alignment horizontal="center" vertical="center" wrapText="1"/>
    </xf>
    <xf numFmtId="1" fontId="9" fillId="0" borderId="66" xfId="0" applyNumberFormat="1" applyFont="1" applyBorder="1" applyAlignment="1">
      <alignment horizontal="center" vertical="center" wrapText="1"/>
    </xf>
    <xf numFmtId="4" fontId="1" fillId="2" borderId="21" xfId="0" applyNumberFormat="1" applyFont="1" applyFill="1" applyBorder="1"/>
    <xf numFmtId="4" fontId="1" fillId="2" borderId="9" xfId="0" applyNumberFormat="1" applyFont="1" applyFill="1" applyBorder="1"/>
    <xf numFmtId="1" fontId="9" fillId="0" borderId="36" xfId="0" applyNumberFormat="1" applyFont="1" applyBorder="1" applyAlignment="1">
      <alignment horizontal="center" vertical="center" wrapText="1"/>
    </xf>
    <xf numFmtId="4" fontId="36" fillId="3" borderId="68" xfId="0" applyNumberFormat="1" applyFont="1" applyFill="1" applyBorder="1" applyAlignment="1"/>
    <xf numFmtId="4" fontId="6" fillId="0" borderId="0" xfId="0" applyNumberFormat="1" applyFont="1" applyFill="1" applyBorder="1" applyAlignment="1">
      <alignment vertical="top" wrapText="1"/>
    </xf>
    <xf numFmtId="4" fontId="11" fillId="0" borderId="0" xfId="0" applyNumberFormat="1" applyFont="1" applyFill="1" applyBorder="1" applyAlignment="1"/>
    <xf numFmtId="1" fontId="9" fillId="0" borderId="43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24" xfId="0" applyFont="1" applyBorder="1" applyAlignment="1">
      <alignment vertical="top" wrapText="1"/>
    </xf>
    <xf numFmtId="1" fontId="9" fillId="0" borderId="68" xfId="0" applyNumberFormat="1" applyFont="1" applyBorder="1" applyAlignment="1">
      <alignment horizontal="center" vertical="center" wrapText="1"/>
    </xf>
    <xf numFmtId="1" fontId="9" fillId="0" borderId="60" xfId="0" applyNumberFormat="1" applyFont="1" applyBorder="1" applyAlignment="1">
      <alignment horizontal="center" vertical="center" wrapText="1"/>
    </xf>
    <xf numFmtId="1" fontId="9" fillId="0" borderId="62" xfId="0" applyNumberFormat="1" applyFont="1" applyBorder="1" applyAlignment="1">
      <alignment horizontal="center" vertical="center" wrapText="1"/>
    </xf>
    <xf numFmtId="4" fontId="13" fillId="4" borderId="52" xfId="0" applyNumberFormat="1" applyFont="1" applyFill="1" applyBorder="1" applyAlignment="1">
      <alignment horizontal="right" vertical="center"/>
    </xf>
    <xf numFmtId="4" fontId="2" fillId="4" borderId="53" xfId="0" applyNumberFormat="1" applyFont="1" applyFill="1" applyBorder="1" applyAlignment="1">
      <alignment horizontal="right" vertical="center"/>
    </xf>
    <xf numFmtId="4" fontId="0" fillId="4" borderId="53" xfId="0" applyNumberFormat="1" applyFill="1" applyBorder="1" applyAlignment="1">
      <alignment horizontal="right" vertical="center"/>
    </xf>
    <xf numFmtId="4" fontId="12" fillId="8" borderId="74" xfId="0" applyNumberFormat="1" applyFont="1" applyFill="1" applyBorder="1" applyAlignment="1">
      <alignment horizontal="right" vertical="center"/>
    </xf>
    <xf numFmtId="4" fontId="13" fillId="4" borderId="28" xfId="0" applyNumberFormat="1" applyFont="1" applyFill="1" applyBorder="1" applyAlignment="1">
      <alignment horizontal="right" vertical="center"/>
    </xf>
    <xf numFmtId="4" fontId="2" fillId="4" borderId="50" xfId="0" applyNumberFormat="1" applyFont="1" applyFill="1" applyBorder="1" applyAlignment="1">
      <alignment horizontal="right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0" fillId="2" borderId="30" xfId="0" applyNumberFormat="1" applyFill="1" applyBorder="1" applyAlignment="1">
      <alignment horizontal="right" vertical="center"/>
    </xf>
    <xf numFmtId="4" fontId="0" fillId="4" borderId="46" xfId="0" applyNumberFormat="1" applyFill="1" applyBorder="1" applyAlignment="1">
      <alignment horizontal="right" vertical="center"/>
    </xf>
    <xf numFmtId="4" fontId="0" fillId="2" borderId="20" xfId="0" applyNumberFormat="1" applyFill="1" applyBorder="1" applyAlignment="1">
      <alignment horizontal="right" vertical="center"/>
    </xf>
    <xf numFmtId="4" fontId="0" fillId="4" borderId="42" xfId="0" applyNumberFormat="1" applyFill="1" applyBorder="1" applyAlignment="1">
      <alignment horizontal="right" vertical="center"/>
    </xf>
    <xf numFmtId="4" fontId="1" fillId="2" borderId="22" xfId="0" applyNumberFormat="1" applyFont="1" applyFill="1" applyBorder="1" applyAlignment="1">
      <alignment horizontal="right" vertical="center"/>
    </xf>
    <xf numFmtId="4" fontId="0" fillId="2" borderId="22" xfId="0" applyNumberFormat="1" applyFont="1" applyFill="1" applyBorder="1" applyAlignment="1">
      <alignment horizontal="right" vertical="center"/>
    </xf>
    <xf numFmtId="4" fontId="0" fillId="2" borderId="19" xfId="0" applyNumberFormat="1" applyFont="1" applyFill="1" applyBorder="1" applyAlignment="1">
      <alignment horizontal="right" vertical="center"/>
    </xf>
    <xf numFmtId="4" fontId="13" fillId="2" borderId="54" xfId="0" applyNumberFormat="1" applyFont="1" applyFill="1" applyBorder="1" applyAlignment="1">
      <alignment horizontal="right" vertical="center"/>
    </xf>
    <xf numFmtId="4" fontId="12" fillId="2" borderId="30" xfId="0" applyNumberFormat="1" applyFont="1" applyFill="1" applyBorder="1" applyAlignment="1">
      <alignment horizontal="right" vertical="center"/>
    </xf>
    <xf numFmtId="4" fontId="0" fillId="4" borderId="66" xfId="0" applyNumberFormat="1" applyFill="1" applyBorder="1" applyAlignment="1">
      <alignment horizontal="right" vertical="center"/>
    </xf>
    <xf numFmtId="4" fontId="12" fillId="2" borderId="22" xfId="0" applyNumberFormat="1" applyFont="1" applyFill="1" applyBorder="1" applyAlignment="1">
      <alignment horizontal="right" vertical="center"/>
    </xf>
    <xf numFmtId="4" fontId="0" fillId="2" borderId="13" xfId="0" applyNumberFormat="1" applyFont="1" applyFill="1" applyBorder="1" applyAlignment="1">
      <alignment horizontal="right" vertical="center"/>
    </xf>
    <xf numFmtId="4" fontId="0" fillId="2" borderId="15" xfId="0" applyNumberFormat="1" applyFont="1" applyFill="1" applyBorder="1" applyAlignment="1">
      <alignment horizontal="right" vertical="center"/>
    </xf>
    <xf numFmtId="4" fontId="0" fillId="2" borderId="18" xfId="0" applyNumberFormat="1" applyFont="1" applyFill="1" applyBorder="1" applyAlignment="1">
      <alignment horizontal="right" vertical="center"/>
    </xf>
    <xf numFmtId="4" fontId="0" fillId="2" borderId="16" xfId="0" applyNumberFormat="1" applyFont="1" applyFill="1" applyBorder="1" applyAlignment="1">
      <alignment horizontal="right" vertical="center"/>
    </xf>
    <xf numFmtId="4" fontId="2" fillId="4" borderId="46" xfId="0" applyNumberFormat="1" applyFont="1" applyFill="1" applyBorder="1" applyAlignment="1">
      <alignment horizontal="right" vertical="center"/>
    </xf>
    <xf numFmtId="4" fontId="2" fillId="4" borderId="66" xfId="0" applyNumberFormat="1" applyFont="1" applyFill="1" applyBorder="1" applyAlignment="1">
      <alignment horizontal="right" vertical="center"/>
    </xf>
    <xf numFmtId="4" fontId="13" fillId="2" borderId="9" xfId="0" applyNumberFormat="1" applyFont="1" applyFill="1" applyBorder="1" applyAlignment="1">
      <alignment horizontal="right" vertical="center"/>
    </xf>
    <xf numFmtId="4" fontId="12" fillId="2" borderId="33" xfId="0" applyNumberFormat="1" applyFont="1" applyFill="1" applyBorder="1" applyAlignment="1">
      <alignment horizontal="right" vertical="center"/>
    </xf>
    <xf numFmtId="4" fontId="13" fillId="4" borderId="61" xfId="0" applyNumberFormat="1" applyFont="1" applyFill="1" applyBorder="1" applyAlignment="1">
      <alignment horizontal="right" vertical="center"/>
    </xf>
    <xf numFmtId="4" fontId="0" fillId="2" borderId="8" xfId="0" applyNumberFormat="1" applyFill="1" applyBorder="1" applyAlignment="1">
      <alignment horizontal="right" vertical="center"/>
    </xf>
    <xf numFmtId="4" fontId="0" fillId="4" borderId="62" xfId="0" applyNumberFormat="1" applyFont="1" applyFill="1" applyBorder="1" applyAlignment="1">
      <alignment horizontal="right" vertical="center" wrapText="1"/>
    </xf>
    <xf numFmtId="4" fontId="1" fillId="2" borderId="49" xfId="0" applyNumberFormat="1" applyFont="1" applyFill="1" applyBorder="1" applyAlignment="1">
      <alignment horizontal="right" vertical="center"/>
    </xf>
    <xf numFmtId="4" fontId="0" fillId="2" borderId="67" xfId="0" applyNumberFormat="1" applyFont="1" applyFill="1" applyBorder="1" applyAlignment="1">
      <alignment horizontal="right" vertical="center"/>
    </xf>
    <xf numFmtId="4" fontId="0" fillId="2" borderId="64" xfId="0" applyNumberFormat="1" applyFont="1" applyFill="1" applyBorder="1" applyAlignment="1">
      <alignment horizontal="right" vertical="center"/>
    </xf>
    <xf numFmtId="4" fontId="0" fillId="2" borderId="60" xfId="0" applyNumberFormat="1" applyFont="1" applyFill="1" applyBorder="1" applyAlignment="1">
      <alignment horizontal="right" vertical="center"/>
    </xf>
    <xf numFmtId="4" fontId="0" fillId="2" borderId="62" xfId="0" applyNumberFormat="1" applyFont="1" applyFill="1" applyBorder="1" applyAlignment="1">
      <alignment horizontal="right" vertical="center"/>
    </xf>
    <xf numFmtId="4" fontId="2" fillId="4" borderId="26" xfId="0" applyNumberFormat="1" applyFont="1" applyFill="1" applyBorder="1" applyAlignment="1">
      <alignment horizontal="right" vertical="center"/>
    </xf>
    <xf numFmtId="4" fontId="2" fillId="7" borderId="45" xfId="0" applyNumberFormat="1" applyFont="1" applyFill="1" applyBorder="1" applyAlignment="1">
      <alignment horizontal="right" vertical="center"/>
    </xf>
    <xf numFmtId="4" fontId="2" fillId="7" borderId="52" xfId="0" applyNumberFormat="1" applyFont="1" applyFill="1" applyBorder="1" applyAlignment="1">
      <alignment horizontal="right" vertical="center"/>
    </xf>
    <xf numFmtId="4" fontId="2" fillId="7" borderId="2" xfId="0" applyNumberFormat="1" applyFont="1" applyFill="1" applyBorder="1" applyAlignment="1">
      <alignment horizontal="right" vertical="center"/>
    </xf>
    <xf numFmtId="4" fontId="14" fillId="4" borderId="26" xfId="0" applyNumberFormat="1" applyFon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0" fontId="2" fillId="0" borderId="27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4" fontId="28" fillId="0" borderId="41" xfId="0" applyNumberFormat="1" applyFont="1" applyBorder="1" applyAlignment="1">
      <alignment vertical="top" wrapText="1"/>
    </xf>
    <xf numFmtId="4" fontId="28" fillId="0" borderId="40" xfId="0" applyNumberFormat="1" applyFont="1" applyBorder="1" applyAlignment="1">
      <alignment vertical="top" wrapText="1"/>
    </xf>
    <xf numFmtId="4" fontId="28" fillId="0" borderId="36" xfId="0" applyNumberFormat="1" applyFont="1" applyBorder="1" applyAlignment="1">
      <alignment vertical="top" wrapText="1"/>
    </xf>
    <xf numFmtId="4" fontId="28" fillId="0" borderId="51" xfId="0" applyNumberFormat="1" applyFont="1" applyBorder="1" applyAlignment="1">
      <alignment vertical="top" wrapText="1"/>
    </xf>
    <xf numFmtId="4" fontId="28" fillId="4" borderId="51" xfId="0" applyNumberFormat="1" applyFont="1" applyFill="1" applyBorder="1" applyAlignment="1">
      <alignment vertical="top" wrapText="1"/>
    </xf>
    <xf numFmtId="4" fontId="28" fillId="4" borderId="37" xfId="0" applyNumberFormat="1" applyFont="1" applyFill="1" applyBorder="1" applyAlignment="1">
      <alignment vertical="top" wrapText="1"/>
    </xf>
    <xf numFmtId="4" fontId="28" fillId="0" borderId="28" xfId="0" applyNumberFormat="1" applyFont="1" applyBorder="1" applyAlignment="1">
      <alignment vertical="top" wrapText="1"/>
    </xf>
    <xf numFmtId="4" fontId="28" fillId="0" borderId="0" xfId="0" applyNumberFormat="1" applyFont="1" applyBorder="1" applyAlignment="1">
      <alignment vertical="top" wrapText="1"/>
    </xf>
    <xf numFmtId="4" fontId="28" fillId="0" borderId="65" xfId="0" applyNumberFormat="1" applyFont="1" applyBorder="1" applyAlignment="1">
      <alignment vertical="top" wrapText="1"/>
    </xf>
    <xf numFmtId="4" fontId="28" fillId="0" borderId="46" xfId="0" applyNumberFormat="1" applyFont="1" applyBorder="1" applyAlignment="1">
      <alignment vertical="top" wrapText="1"/>
    </xf>
    <xf numFmtId="4" fontId="28" fillId="0" borderId="66" xfId="0" applyNumberFormat="1" applyFont="1" applyBorder="1" applyAlignment="1">
      <alignment vertical="top" wrapText="1"/>
    </xf>
    <xf numFmtId="4" fontId="28" fillId="0" borderId="37" xfId="0" applyNumberFormat="1" applyFont="1" applyBorder="1" applyAlignment="1">
      <alignment vertical="top" wrapText="1"/>
    </xf>
    <xf numFmtId="4" fontId="28" fillId="10" borderId="65" xfId="0" applyNumberFormat="1" applyFont="1" applyFill="1" applyBorder="1" applyAlignment="1">
      <alignment vertical="top" wrapText="1"/>
    </xf>
    <xf numFmtId="4" fontId="28" fillId="10" borderId="66" xfId="0" applyNumberFormat="1" applyFont="1" applyFill="1" applyBorder="1" applyAlignment="1">
      <alignment vertical="top" wrapText="1"/>
    </xf>
    <xf numFmtId="4" fontId="28" fillId="10" borderId="77" xfId="0" applyNumberFormat="1" applyFont="1" applyFill="1" applyBorder="1" applyAlignment="1">
      <alignment vertical="top" wrapText="1"/>
    </xf>
    <xf numFmtId="4" fontId="28" fillId="10" borderId="63" xfId="0" applyNumberFormat="1" applyFont="1" applyFill="1" applyBorder="1" applyAlignment="1">
      <alignment vertical="top" wrapText="1"/>
    </xf>
    <xf numFmtId="4" fontId="1" fillId="4" borderId="26" xfId="0" applyNumberFormat="1" applyFont="1" applyFill="1" applyBorder="1" applyAlignment="1">
      <alignment horizontal="right" vertical="center"/>
    </xf>
    <xf numFmtId="4" fontId="0" fillId="8" borderId="5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" fontId="5" fillId="0" borderId="5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5" fillId="6" borderId="17" xfId="0" applyNumberFormat="1" applyFont="1" applyFill="1" applyBorder="1" applyAlignment="1">
      <alignment vertical="top" wrapText="1"/>
    </xf>
    <xf numFmtId="4" fontId="5" fillId="6" borderId="46" xfId="0" applyNumberFormat="1" applyFont="1" applyFill="1" applyBorder="1" applyAlignment="1">
      <alignment vertical="center" wrapText="1"/>
    </xf>
    <xf numFmtId="4" fontId="5" fillId="6" borderId="71" xfId="0" applyNumberFormat="1" applyFont="1" applyFill="1" applyBorder="1" applyAlignment="1">
      <alignment vertical="center" wrapText="1"/>
    </xf>
    <xf numFmtId="4" fontId="16" fillId="10" borderId="39" xfId="0" applyNumberFormat="1" applyFont="1" applyFill="1" applyBorder="1" applyAlignment="1">
      <alignment vertical="center" wrapText="1"/>
    </xf>
    <xf numFmtId="4" fontId="16" fillId="10" borderId="35" xfId="0" applyNumberFormat="1" applyFont="1" applyFill="1" applyBorder="1" applyAlignment="1">
      <alignment vertical="center" wrapText="1"/>
    </xf>
    <xf numFmtId="4" fontId="28" fillId="6" borderId="65" xfId="0" applyNumberFormat="1" applyFont="1" applyFill="1" applyBorder="1" applyAlignment="1">
      <alignment vertical="top" wrapText="1"/>
    </xf>
    <xf numFmtId="4" fontId="28" fillId="6" borderId="66" xfId="0" applyNumberFormat="1" applyFont="1" applyFill="1" applyBorder="1" applyAlignment="1">
      <alignment vertical="top" wrapText="1"/>
    </xf>
    <xf numFmtId="4" fontId="16" fillId="11" borderId="68" xfId="0" applyNumberFormat="1" applyFont="1" applyFill="1" applyBorder="1" applyAlignment="1">
      <alignment horizontal="right" vertical="center" wrapText="1"/>
    </xf>
    <xf numFmtId="4" fontId="16" fillId="11" borderId="51" xfId="0" applyNumberFormat="1" applyFont="1" applyFill="1" applyBorder="1" applyAlignment="1">
      <alignment horizontal="right" vertical="center" wrapText="1"/>
    </xf>
    <xf numFmtId="4" fontId="0" fillId="10" borderId="42" xfId="0" applyNumberFormat="1" applyFill="1" applyBorder="1" applyAlignment="1">
      <alignment horizontal="center" vertical="center"/>
    </xf>
    <xf numFmtId="4" fontId="0" fillId="10" borderId="66" xfId="0" applyNumberFormat="1" applyFill="1" applyBorder="1" applyAlignment="1">
      <alignment horizontal="center" vertical="center"/>
    </xf>
    <xf numFmtId="4" fontId="0" fillId="10" borderId="62" xfId="0" applyNumberFormat="1" applyFill="1" applyBorder="1" applyAlignment="1">
      <alignment horizontal="center" vertical="center"/>
    </xf>
    <xf numFmtId="4" fontId="0" fillId="10" borderId="41" xfId="0" applyNumberFormat="1" applyFill="1" applyBorder="1" applyAlignment="1">
      <alignment horizontal="center" vertical="center"/>
    </xf>
    <xf numFmtId="4" fontId="0" fillId="10" borderId="65" xfId="0" applyNumberFormat="1" applyFill="1" applyBorder="1" applyAlignment="1">
      <alignment horizontal="center" vertical="center"/>
    </xf>
    <xf numFmtId="4" fontId="0" fillId="10" borderId="60" xfId="0" applyNumberFormat="1" applyFill="1" applyBorder="1" applyAlignment="1">
      <alignment horizontal="center" vertical="center"/>
    </xf>
    <xf numFmtId="4" fontId="6" fillId="10" borderId="42" xfId="0" applyNumberFormat="1" applyFont="1" applyFill="1" applyBorder="1" applyAlignment="1">
      <alignment horizontal="center" vertical="center" wrapText="1"/>
    </xf>
    <xf numFmtId="4" fontId="6" fillId="10" borderId="66" xfId="0" applyNumberFormat="1" applyFont="1" applyFill="1" applyBorder="1" applyAlignment="1">
      <alignment horizontal="center" vertical="center" wrapText="1"/>
    </xf>
    <xf numFmtId="4" fontId="6" fillId="10" borderId="62" xfId="0" applyNumberFormat="1" applyFont="1" applyFill="1" applyBorder="1" applyAlignment="1">
      <alignment horizontal="center" vertical="center" wrapText="1"/>
    </xf>
    <xf numFmtId="4" fontId="0" fillId="6" borderId="41" xfId="0" applyNumberFormat="1" applyFill="1" applyBorder="1" applyAlignment="1">
      <alignment horizontal="center" vertical="center"/>
    </xf>
    <xf numFmtId="4" fontId="0" fillId="6" borderId="65" xfId="0" applyNumberFormat="1" applyFill="1" applyBorder="1" applyAlignment="1">
      <alignment horizontal="center" vertical="center"/>
    </xf>
    <xf numFmtId="4" fontId="0" fillId="6" borderId="60" xfId="0" applyNumberFormat="1" applyFill="1" applyBorder="1" applyAlignment="1">
      <alignment horizontal="center" vertical="center"/>
    </xf>
    <xf numFmtId="4" fontId="6" fillId="6" borderId="42" xfId="0" applyNumberFormat="1" applyFont="1" applyFill="1" applyBorder="1" applyAlignment="1">
      <alignment horizontal="center" vertical="center" wrapText="1"/>
    </xf>
    <xf numFmtId="4" fontId="6" fillId="6" borderId="66" xfId="0" applyNumberFormat="1" applyFont="1" applyFill="1" applyBorder="1" applyAlignment="1">
      <alignment horizontal="center" vertical="center" wrapText="1"/>
    </xf>
    <xf numFmtId="4" fontId="6" fillId="6" borderId="62" xfId="0" applyNumberFormat="1" applyFont="1" applyFill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left" vertical="top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0" fillId="5" borderId="9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4" fontId="5" fillId="6" borderId="36" xfId="0" applyNumberFormat="1" applyFont="1" applyFill="1" applyBorder="1" applyAlignment="1">
      <alignment horizontal="center" vertical="center" wrapText="1"/>
    </xf>
    <xf numFmtId="4" fontId="5" fillId="6" borderId="37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50" xfId="0" applyNumberFormat="1" applyFont="1" applyBorder="1" applyAlignment="1">
      <alignment horizontal="center" vertical="center" wrapText="1"/>
    </xf>
    <xf numFmtId="4" fontId="5" fillId="10" borderId="39" xfId="0" applyNumberFormat="1" applyFont="1" applyFill="1" applyBorder="1" applyAlignment="1">
      <alignment horizontal="center" vertical="center" wrapText="1"/>
    </xf>
    <xf numFmtId="4" fontId="5" fillId="10" borderId="43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4" xfId="0" applyNumberFormat="1" applyFont="1" applyBorder="1" applyAlignment="1">
      <alignment horizontal="center" vertical="center" wrapText="1"/>
    </xf>
    <xf numFmtId="4" fontId="5" fillId="0" borderId="43" xfId="0" applyNumberFormat="1" applyFont="1" applyBorder="1" applyAlignment="1">
      <alignment horizontal="center" vertical="center" wrapText="1"/>
    </xf>
    <xf numFmtId="4" fontId="5" fillId="10" borderId="36" xfId="0" applyNumberFormat="1" applyFont="1" applyFill="1" applyBorder="1" applyAlignment="1">
      <alignment horizontal="center" vertical="center" wrapText="1"/>
    </xf>
    <xf numFmtId="4" fontId="5" fillId="10" borderId="37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4" fontId="5" fillId="6" borderId="40" xfId="0" applyNumberFormat="1" applyFont="1" applyFill="1" applyBorder="1" applyAlignment="1">
      <alignment horizontal="center" vertical="center" wrapText="1"/>
    </xf>
    <xf numFmtId="4" fontId="5" fillId="6" borderId="58" xfId="0" applyNumberFormat="1" applyFont="1" applyFill="1" applyBorder="1" applyAlignment="1">
      <alignment horizontal="center" vertical="center" wrapText="1"/>
    </xf>
    <xf numFmtId="4" fontId="5" fillId="6" borderId="70" xfId="0" applyNumberFormat="1" applyFont="1" applyFill="1" applyBorder="1" applyAlignment="1">
      <alignment horizontal="center" vertical="center" wrapText="1"/>
    </xf>
    <xf numFmtId="4" fontId="5" fillId="6" borderId="71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center" vertical="center" wrapText="1"/>
    </xf>
    <xf numFmtId="4" fontId="5" fillId="0" borderId="52" xfId="0" applyNumberFormat="1" applyFont="1" applyBorder="1" applyAlignment="1">
      <alignment horizontal="center" vertical="center" wrapText="1"/>
    </xf>
    <xf numFmtId="4" fontId="5" fillId="0" borderId="5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left" vertical="center"/>
    </xf>
    <xf numFmtId="0" fontId="2" fillId="4" borderId="41" xfId="0" applyFont="1" applyFill="1" applyBorder="1" applyAlignment="1">
      <alignment horizontal="left" vertical="center"/>
    </xf>
    <xf numFmtId="0" fontId="2" fillId="4" borderId="40" xfId="0" applyFont="1" applyFill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34" fillId="0" borderId="0" xfId="0" applyFont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2" fillId="3" borderId="36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5" fillId="10" borderId="52" xfId="0" applyNumberFormat="1" applyFont="1" applyFill="1" applyBorder="1" applyAlignment="1">
      <alignment horizontal="center" vertical="top" wrapText="1"/>
    </xf>
    <xf numFmtId="4" fontId="5" fillId="10" borderId="53" xfId="0" applyNumberFormat="1" applyFont="1" applyFill="1" applyBorder="1" applyAlignment="1">
      <alignment horizontal="center" vertical="top" wrapText="1"/>
    </xf>
    <xf numFmtId="0" fontId="2" fillId="4" borderId="52" xfId="0" applyFont="1" applyFill="1" applyBorder="1" applyAlignment="1">
      <alignment horizontal="left" vertical="center"/>
    </xf>
    <xf numFmtId="0" fontId="2" fillId="4" borderId="56" xfId="0" applyFont="1" applyFill="1" applyBorder="1" applyAlignment="1">
      <alignment horizontal="left" vertical="center"/>
    </xf>
    <xf numFmtId="4" fontId="5" fillId="6" borderId="53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6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3" borderId="5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" fontId="5" fillId="0" borderId="75" xfId="0" applyNumberFormat="1" applyFont="1" applyBorder="1" applyAlignment="1">
      <alignment horizontal="center" vertical="center" wrapText="1"/>
    </xf>
    <xf numFmtId="4" fontId="27" fillId="4" borderId="47" xfId="0" applyNumberFormat="1" applyFont="1" applyFill="1" applyBorder="1" applyAlignment="1">
      <alignment horizontal="center" wrapText="1"/>
    </xf>
    <xf numFmtId="4" fontId="27" fillId="4" borderId="14" xfId="0" applyNumberFormat="1" applyFont="1" applyFill="1" applyBorder="1" applyAlignment="1">
      <alignment horizontal="center" wrapText="1"/>
    </xf>
    <xf numFmtId="0" fontId="2" fillId="0" borderId="73" xfId="0" applyFont="1" applyBorder="1" applyAlignment="1">
      <alignment horizontal="center"/>
    </xf>
  </cellXfs>
  <cellStyles count="2">
    <cellStyle name="Normal 2 2" xfId="1"/>
    <cellStyle name="Normalny" xfId="0" builtinId="0"/>
  </cellStyles>
  <dxfs count="0"/>
  <tableStyles count="0" defaultTableStyle="TableStyleMedium2" defaultPivotStyle="PivotStyleLight16"/>
  <colors>
    <mruColors>
      <color rgb="FFFFD8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Y66"/>
  <sheetViews>
    <sheetView topLeftCell="A52" zoomScaleNormal="100" workbookViewId="0">
      <selection activeCell="X55" sqref="X55:X66"/>
    </sheetView>
  </sheetViews>
  <sheetFormatPr defaultRowHeight="15" x14ac:dyDescent="0.25"/>
  <cols>
    <col min="3" max="3" width="6.5703125" customWidth="1"/>
    <col min="4" max="4" width="26.85546875" customWidth="1"/>
    <col min="5" max="5" width="13.42578125" customWidth="1"/>
    <col min="6" max="6" width="18.28515625" customWidth="1"/>
    <col min="7" max="7" width="15" customWidth="1"/>
    <col min="8" max="8" width="16.7109375" customWidth="1"/>
    <col min="9" max="9" width="16.42578125" customWidth="1"/>
    <col min="10" max="10" width="17.5703125" customWidth="1"/>
    <col min="11" max="11" width="14.5703125" customWidth="1"/>
    <col min="12" max="12" width="17" customWidth="1"/>
    <col min="13" max="13" width="18.140625" customWidth="1"/>
    <col min="14" max="14" width="16.28515625" customWidth="1"/>
    <col min="15" max="15" width="13.5703125" customWidth="1"/>
    <col min="16" max="16" width="12.42578125" customWidth="1"/>
    <col min="17" max="17" width="14" customWidth="1"/>
    <col min="18" max="18" width="14.5703125" customWidth="1"/>
    <col min="19" max="19" width="14" customWidth="1"/>
    <col min="20" max="20" width="17.85546875" customWidth="1"/>
    <col min="21" max="21" width="14.42578125" customWidth="1"/>
    <col min="22" max="23" width="13.28515625" customWidth="1"/>
    <col min="24" max="24" width="18" customWidth="1"/>
    <col min="25" max="25" width="16.28515625" customWidth="1"/>
  </cols>
  <sheetData>
    <row r="1" spans="2:21" ht="56.25" customHeight="1" x14ac:dyDescent="0.25">
      <c r="B1" s="414" t="s">
        <v>230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3" spans="2:21" ht="15.75" thickBot="1" x14ac:dyDescent="0.3">
      <c r="C3" s="1"/>
      <c r="D3" s="1" t="s">
        <v>42</v>
      </c>
      <c r="E3" s="2"/>
      <c r="F3" s="2"/>
      <c r="G3" s="2"/>
      <c r="H3" s="2"/>
      <c r="I3" s="2"/>
      <c r="J3" s="2"/>
      <c r="K3" s="2"/>
      <c r="L3" s="2"/>
    </row>
    <row r="4" spans="2:21" ht="51.75" customHeight="1" thickBot="1" x14ac:dyDescent="0.3">
      <c r="C4" s="2"/>
      <c r="D4" s="435"/>
      <c r="E4" s="3" t="s">
        <v>0</v>
      </c>
      <c r="F4" s="4" t="s">
        <v>199</v>
      </c>
      <c r="G4" s="4"/>
      <c r="H4" s="432" t="s">
        <v>2</v>
      </c>
      <c r="I4" s="433"/>
      <c r="K4" s="428" t="s">
        <v>55</v>
      </c>
      <c r="L4" s="429"/>
      <c r="M4" s="369" t="s">
        <v>223</v>
      </c>
      <c r="N4" s="370" t="s">
        <v>47</v>
      </c>
      <c r="Q4" s="39" t="s">
        <v>172</v>
      </c>
      <c r="S4" s="38"/>
      <c r="T4" s="38"/>
      <c r="U4" s="38"/>
    </row>
    <row r="5" spans="2:21" ht="47.25" customHeight="1" thickBot="1" x14ac:dyDescent="0.3">
      <c r="C5" s="2"/>
      <c r="D5" s="436"/>
      <c r="E5" s="5" t="s">
        <v>3</v>
      </c>
      <c r="F5" s="6" t="s">
        <v>4</v>
      </c>
      <c r="G5" s="6"/>
      <c r="H5" s="7" t="s">
        <v>5</v>
      </c>
      <c r="I5" s="44" t="s">
        <v>6</v>
      </c>
      <c r="K5" s="430" t="s">
        <v>43</v>
      </c>
      <c r="L5" s="431"/>
      <c r="M5" s="365">
        <v>2.97</v>
      </c>
      <c r="N5" s="366">
        <v>1.9</v>
      </c>
      <c r="Q5" s="415"/>
      <c r="R5" s="416"/>
      <c r="S5" s="416"/>
      <c r="T5" s="119" t="s">
        <v>0</v>
      </c>
      <c r="U5" s="120" t="s">
        <v>189</v>
      </c>
    </row>
    <row r="6" spans="2:21" ht="46.5" customHeight="1" thickBot="1" x14ac:dyDescent="0.3">
      <c r="C6" s="2"/>
      <c r="D6" s="8" t="s">
        <v>7</v>
      </c>
      <c r="E6" s="9">
        <v>12017.35</v>
      </c>
      <c r="F6" s="10">
        <v>143</v>
      </c>
      <c r="G6" s="10"/>
      <c r="H6" s="11" t="s">
        <v>11</v>
      </c>
      <c r="I6" s="48">
        <v>3.64</v>
      </c>
      <c r="K6" s="430" t="s">
        <v>224</v>
      </c>
      <c r="L6" s="431"/>
      <c r="M6" s="365">
        <v>0.28999999999999998</v>
      </c>
      <c r="N6" s="366">
        <v>0.11</v>
      </c>
      <c r="Q6" s="417"/>
      <c r="R6" s="418"/>
      <c r="S6" s="418"/>
      <c r="T6" s="142" t="s">
        <v>3</v>
      </c>
      <c r="U6" s="258" t="s">
        <v>60</v>
      </c>
    </row>
    <row r="7" spans="2:21" ht="46.5" customHeight="1" x14ac:dyDescent="0.25">
      <c r="C7" s="2"/>
      <c r="D7" s="8" t="s">
        <v>10</v>
      </c>
      <c r="E7" s="9">
        <v>497.67</v>
      </c>
      <c r="F7" s="10">
        <v>30</v>
      </c>
      <c r="G7" s="10"/>
      <c r="H7" s="11" t="s">
        <v>11</v>
      </c>
      <c r="I7" s="48">
        <v>2.31</v>
      </c>
      <c r="K7" s="430" t="s">
        <v>44</v>
      </c>
      <c r="L7" s="431"/>
      <c r="M7" s="365">
        <v>0.25</v>
      </c>
      <c r="N7" s="366">
        <v>0.2</v>
      </c>
      <c r="Q7" s="419" t="s">
        <v>137</v>
      </c>
      <c r="R7" s="420"/>
      <c r="S7" s="421"/>
      <c r="T7" s="124">
        <v>13499.67</v>
      </c>
      <c r="U7" s="141">
        <f>U9/T9*T7</f>
        <v>113168.59347802246</v>
      </c>
    </row>
    <row r="8" spans="2:21" ht="43.5" customHeight="1" thickBot="1" x14ac:dyDescent="0.3">
      <c r="C8" s="2"/>
      <c r="D8" s="8" t="s">
        <v>186</v>
      </c>
      <c r="E8" s="13">
        <v>984.65</v>
      </c>
      <c r="F8" s="12">
        <v>55</v>
      </c>
      <c r="G8" s="12"/>
      <c r="H8" s="11" t="s">
        <v>11</v>
      </c>
      <c r="I8" s="54">
        <v>2.31</v>
      </c>
      <c r="K8" s="430" t="s">
        <v>45</v>
      </c>
      <c r="L8" s="431"/>
      <c r="M8" s="365">
        <v>0.03</v>
      </c>
      <c r="N8" s="366">
        <v>0.02</v>
      </c>
      <c r="Q8" s="422" t="s">
        <v>66</v>
      </c>
      <c r="R8" s="423"/>
      <c r="S8" s="424"/>
      <c r="T8" s="139">
        <v>15441</v>
      </c>
      <c r="U8" s="144">
        <f>U9/T9*T8</f>
        <v>129442.88652197756</v>
      </c>
    </row>
    <row r="9" spans="2:21" ht="30.75" customHeight="1" thickBot="1" x14ac:dyDescent="0.3">
      <c r="C9" s="2"/>
      <c r="D9" s="14" t="s">
        <v>8</v>
      </c>
      <c r="E9" s="15">
        <f>SUM(E6:E8)</f>
        <v>13499.67</v>
      </c>
      <c r="F9" s="16"/>
      <c r="G9" s="16"/>
      <c r="H9" s="17"/>
      <c r="I9" s="118"/>
      <c r="K9" s="430" t="s">
        <v>46</v>
      </c>
      <c r="L9" s="431"/>
      <c r="M9" s="365">
        <v>0.1</v>
      </c>
      <c r="N9" s="366">
        <v>0.08</v>
      </c>
      <c r="Q9" s="425" t="s">
        <v>8</v>
      </c>
      <c r="R9" s="426"/>
      <c r="S9" s="427"/>
      <c r="T9" s="143">
        <v>28940.67</v>
      </c>
      <c r="U9" s="140">
        <v>242611.48</v>
      </c>
    </row>
    <row r="10" spans="2:21" ht="15.75" thickBot="1" x14ac:dyDescent="0.3">
      <c r="C10" s="2"/>
      <c r="D10" s="2"/>
      <c r="E10" s="2"/>
      <c r="F10" s="2"/>
      <c r="G10" s="2"/>
      <c r="H10" s="2"/>
      <c r="I10" s="2"/>
      <c r="J10" s="2"/>
      <c r="K10" s="443" t="s">
        <v>48</v>
      </c>
      <c r="L10" s="444"/>
      <c r="M10" s="367">
        <f>SUM(M5:M9)</f>
        <v>3.64</v>
      </c>
      <c r="N10" s="368">
        <f>SUM(N5:N9)</f>
        <v>2.31</v>
      </c>
    </row>
    <row r="11" spans="2:21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21" x14ac:dyDescent="0.25">
      <c r="C12" s="2"/>
      <c r="D12" s="18"/>
      <c r="E12" s="2"/>
      <c r="F12" s="2"/>
      <c r="G12" s="2"/>
      <c r="H12" s="2"/>
      <c r="I12" s="2"/>
      <c r="J12" s="2"/>
      <c r="K12" s="2"/>
      <c r="L12" s="2"/>
    </row>
    <row r="13" spans="2:21" x14ac:dyDescent="0.25">
      <c r="C13" s="2"/>
      <c r="D13" s="18"/>
      <c r="E13" s="2"/>
      <c r="F13" s="2"/>
      <c r="G13" s="2"/>
      <c r="H13" s="2"/>
      <c r="I13" s="2"/>
      <c r="J13" s="2"/>
      <c r="K13" s="2"/>
      <c r="L13" s="2"/>
    </row>
    <row r="15" spans="2:21" ht="45.75" customHeight="1" thickBot="1" x14ac:dyDescent="0.3">
      <c r="C15" s="437" t="s">
        <v>183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4"/>
      <c r="Q15" s="91"/>
      <c r="R15" s="91"/>
      <c r="S15" s="91"/>
    </row>
    <row r="16" spans="2:21" ht="44.25" customHeight="1" x14ac:dyDescent="0.25">
      <c r="C16" s="457" t="s">
        <v>213</v>
      </c>
      <c r="D16" s="458"/>
      <c r="E16" s="438" t="s">
        <v>12</v>
      </c>
      <c r="F16" s="439"/>
      <c r="G16" s="439"/>
      <c r="H16" s="439"/>
      <c r="I16" s="439"/>
      <c r="J16" s="438" t="s">
        <v>13</v>
      </c>
      <c r="K16" s="439"/>
      <c r="L16" s="440"/>
      <c r="M16" s="438" t="s">
        <v>198</v>
      </c>
      <c r="N16" s="441"/>
      <c r="O16" s="442"/>
      <c r="P16" s="223"/>
    </row>
    <row r="17" spans="3:16" ht="120" x14ac:dyDescent="0.25">
      <c r="C17" s="408"/>
      <c r="D17" s="409"/>
      <c r="E17" s="149" t="s">
        <v>182</v>
      </c>
      <c r="F17" s="145" t="s">
        <v>190</v>
      </c>
      <c r="G17" s="148" t="s">
        <v>185</v>
      </c>
      <c r="H17" s="145" t="s">
        <v>191</v>
      </c>
      <c r="I17" s="148" t="s">
        <v>197</v>
      </c>
      <c r="J17" s="259" t="s">
        <v>192</v>
      </c>
      <c r="K17" s="145" t="s">
        <v>193</v>
      </c>
      <c r="L17" s="146" t="s">
        <v>194</v>
      </c>
      <c r="M17" s="149" t="s">
        <v>201</v>
      </c>
      <c r="N17" s="145" t="s">
        <v>200</v>
      </c>
      <c r="O17" s="146" t="s">
        <v>202</v>
      </c>
      <c r="P17" s="292"/>
    </row>
    <row r="18" spans="3:16" ht="15.75" thickBot="1" x14ac:dyDescent="0.3">
      <c r="C18" s="410"/>
      <c r="D18" s="411"/>
      <c r="E18" s="262">
        <v>1</v>
      </c>
      <c r="F18" s="263">
        <v>2</v>
      </c>
      <c r="G18" s="263">
        <v>3</v>
      </c>
      <c r="H18" s="263">
        <v>4</v>
      </c>
      <c r="I18" s="264">
        <v>5</v>
      </c>
      <c r="J18" s="262">
        <v>6</v>
      </c>
      <c r="K18" s="263">
        <v>7</v>
      </c>
      <c r="L18" s="265">
        <v>8</v>
      </c>
      <c r="M18" s="262">
        <v>9</v>
      </c>
      <c r="N18" s="264">
        <v>10</v>
      </c>
      <c r="O18" s="265">
        <v>11</v>
      </c>
      <c r="P18" s="277"/>
    </row>
    <row r="19" spans="3:16" x14ac:dyDescent="0.25">
      <c r="C19" s="459" t="s">
        <v>212</v>
      </c>
      <c r="D19" s="460"/>
      <c r="E19" s="270">
        <f>SUM(E20:E32)</f>
        <v>300786.76347802248</v>
      </c>
      <c r="F19" s="254">
        <f>SUM(F20:F32)</f>
        <v>288762.64338996587</v>
      </c>
      <c r="G19" s="275">
        <v>0</v>
      </c>
      <c r="H19" s="256">
        <f>SUM(H20:H32)</f>
        <v>12024.120088056585</v>
      </c>
      <c r="I19" s="255">
        <v>-1522.3899999999994</v>
      </c>
      <c r="J19" s="272">
        <f>K19+L19</f>
        <v>566404.81999999995</v>
      </c>
      <c r="K19" s="266">
        <v>538476.98</v>
      </c>
      <c r="L19" s="278">
        <v>27927.84</v>
      </c>
      <c r="M19" s="272">
        <f>N19+O19</f>
        <v>267140.44652197754</v>
      </c>
      <c r="N19" s="273">
        <f>K19-F19-G19-(I19/(E7+E8)*E7)</f>
        <v>250225.45960054899</v>
      </c>
      <c r="O19" s="281">
        <f>L19-H19-(I19/(E7+E8)*E8)</f>
        <v>16914.986921428546</v>
      </c>
      <c r="P19" s="293"/>
    </row>
    <row r="20" spans="3:16" ht="25.5" x14ac:dyDescent="0.25">
      <c r="C20" s="295" t="s">
        <v>56</v>
      </c>
      <c r="D20" s="297" t="s">
        <v>126</v>
      </c>
      <c r="E20" s="288">
        <v>12480.380000000001</v>
      </c>
      <c r="F20" s="267">
        <f>E20</f>
        <v>12480.380000000001</v>
      </c>
      <c r="G20" s="157"/>
      <c r="H20" s="153">
        <v>0</v>
      </c>
      <c r="I20" s="157"/>
      <c r="J20" s="268"/>
      <c r="K20" s="269"/>
      <c r="L20" s="280"/>
      <c r="M20" s="268"/>
      <c r="N20" s="269"/>
      <c r="O20" s="280"/>
      <c r="P20" s="279"/>
    </row>
    <row r="21" spans="3:16" ht="25.5" x14ac:dyDescent="0.25">
      <c r="C21" s="295" t="s">
        <v>16</v>
      </c>
      <c r="D21" s="297" t="s">
        <v>32</v>
      </c>
      <c r="E21" s="288">
        <v>101167.91999999998</v>
      </c>
      <c r="F21" s="267">
        <f>E21</f>
        <v>101167.91999999998</v>
      </c>
      <c r="G21" s="157"/>
      <c r="H21" s="153">
        <v>0</v>
      </c>
      <c r="I21" s="157"/>
      <c r="J21" s="268"/>
      <c r="K21" s="269"/>
      <c r="L21" s="280"/>
      <c r="M21" s="268"/>
      <c r="N21" s="269"/>
      <c r="O21" s="280"/>
      <c r="P21" s="279"/>
    </row>
    <row r="22" spans="3:16" x14ac:dyDescent="0.25">
      <c r="C22" s="295" t="s">
        <v>17</v>
      </c>
      <c r="D22" s="297" t="s">
        <v>33</v>
      </c>
      <c r="E22" s="288">
        <v>32791.9</v>
      </c>
      <c r="F22" s="267">
        <f t="shared" ref="F22:F30" si="0">E22/$E$9*($E$6+$E$7)</f>
        <v>30400.097508902069</v>
      </c>
      <c r="G22" s="157"/>
      <c r="H22" s="153">
        <f>E22/$E$9*$E$8</f>
        <v>2391.8024910979302</v>
      </c>
      <c r="I22" s="157"/>
      <c r="J22" s="268"/>
      <c r="K22" s="269"/>
      <c r="L22" s="280"/>
      <c r="M22" s="268"/>
      <c r="N22" s="269"/>
      <c r="O22" s="280"/>
      <c r="P22" s="279"/>
    </row>
    <row r="23" spans="3:16" ht="29.25" customHeight="1" x14ac:dyDescent="0.25">
      <c r="C23" s="295" t="s">
        <v>18</v>
      </c>
      <c r="D23" s="297" t="s">
        <v>34</v>
      </c>
      <c r="E23" s="288">
        <v>3301.98</v>
      </c>
      <c r="F23" s="267">
        <f t="shared" si="0"/>
        <v>3061.1374751827266</v>
      </c>
      <c r="G23" s="157"/>
      <c r="H23" s="153">
        <f t="shared" ref="H23:H30" si="1">E23/$E$9*$E$8</f>
        <v>240.8425248172733</v>
      </c>
      <c r="I23" s="157"/>
      <c r="J23" s="268"/>
      <c r="K23" s="269"/>
      <c r="L23" s="280"/>
      <c r="M23" s="268"/>
      <c r="N23" s="269"/>
      <c r="O23" s="280"/>
      <c r="P23" s="279"/>
    </row>
    <row r="24" spans="3:16" ht="45" customHeight="1" x14ac:dyDescent="0.25">
      <c r="C24" s="295" t="s">
        <v>19</v>
      </c>
      <c r="D24" s="297" t="s">
        <v>35</v>
      </c>
      <c r="E24" s="288">
        <v>8666.630000000001</v>
      </c>
      <c r="F24" s="267">
        <f t="shared" si="0"/>
        <v>8034.496234544994</v>
      </c>
      <c r="G24" s="157"/>
      <c r="H24" s="153">
        <f t="shared" si="1"/>
        <v>632.13376545500751</v>
      </c>
      <c r="I24" s="157"/>
      <c r="J24" s="268"/>
      <c r="K24" s="269"/>
      <c r="L24" s="280"/>
      <c r="M24" s="268"/>
      <c r="N24" s="269"/>
      <c r="O24" s="280"/>
      <c r="P24" s="279"/>
    </row>
    <row r="25" spans="3:16" ht="25.5" x14ac:dyDescent="0.25">
      <c r="C25" s="295" t="s">
        <v>20</v>
      </c>
      <c r="D25" s="297" t="s">
        <v>36</v>
      </c>
      <c r="E25" s="288">
        <v>8671.5</v>
      </c>
      <c r="F25" s="267">
        <f>E25</f>
        <v>8671.5</v>
      </c>
      <c r="G25" s="157"/>
      <c r="H25" s="153">
        <v>0</v>
      </c>
      <c r="I25" s="157"/>
      <c r="J25" s="268"/>
      <c r="K25" s="269"/>
      <c r="L25" s="280"/>
      <c r="M25" s="268"/>
      <c r="N25" s="269"/>
      <c r="O25" s="280"/>
      <c r="P25" s="279"/>
    </row>
    <row r="26" spans="3:16" ht="38.25" x14ac:dyDescent="0.25">
      <c r="C26" s="295" t="s">
        <v>21</v>
      </c>
      <c r="D26" s="297" t="s">
        <v>37</v>
      </c>
      <c r="E26" s="288">
        <v>6900.3</v>
      </c>
      <c r="F26" s="267">
        <f>E26</f>
        <v>6900.3</v>
      </c>
      <c r="G26" s="157"/>
      <c r="H26" s="153">
        <v>0</v>
      </c>
      <c r="I26" s="157"/>
      <c r="J26" s="268"/>
      <c r="K26" s="269"/>
      <c r="L26" s="280"/>
      <c r="M26" s="268"/>
      <c r="N26" s="269"/>
      <c r="O26" s="280"/>
      <c r="P26" s="279"/>
    </row>
    <row r="27" spans="3:16" x14ac:dyDescent="0.25">
      <c r="C27" s="295" t="s">
        <v>22</v>
      </c>
      <c r="D27" s="297" t="s">
        <v>117</v>
      </c>
      <c r="E27" s="288">
        <v>4527.7499999999991</v>
      </c>
      <c r="F27" s="267">
        <f>E27</f>
        <v>4527.7499999999991</v>
      </c>
      <c r="G27" s="157"/>
      <c r="H27" s="153">
        <v>0</v>
      </c>
      <c r="I27" s="157"/>
      <c r="J27" s="268"/>
      <c r="K27" s="269"/>
      <c r="L27" s="280"/>
      <c r="M27" s="268"/>
      <c r="N27" s="269"/>
      <c r="O27" s="280"/>
      <c r="P27" s="279"/>
    </row>
    <row r="28" spans="3:16" ht="25.5" x14ac:dyDescent="0.25">
      <c r="C28" s="295" t="s">
        <v>23</v>
      </c>
      <c r="D28" s="297" t="s">
        <v>40</v>
      </c>
      <c r="E28" s="288">
        <v>4801.6799999999994</v>
      </c>
      <c r="F28" s="267">
        <f t="shared" si="0"/>
        <v>4451.4511268497672</v>
      </c>
      <c r="G28" s="157"/>
      <c r="H28" s="153">
        <f t="shared" si="1"/>
        <v>350.22887315023252</v>
      </c>
      <c r="I28" s="157"/>
      <c r="J28" s="268"/>
      <c r="K28" s="269"/>
      <c r="L28" s="280"/>
      <c r="M28" s="268"/>
      <c r="N28" s="269"/>
      <c r="O28" s="280"/>
      <c r="P28" s="279"/>
    </row>
    <row r="29" spans="3:16" x14ac:dyDescent="0.25">
      <c r="C29" s="295" t="s">
        <v>24</v>
      </c>
      <c r="D29" s="297" t="s">
        <v>30</v>
      </c>
      <c r="E29" s="288">
        <v>2121.3500000000004</v>
      </c>
      <c r="F29" s="267">
        <f t="shared" si="0"/>
        <v>1966.621234222763</v>
      </c>
      <c r="G29" s="157"/>
      <c r="H29" s="153">
        <f t="shared" si="1"/>
        <v>154.72876577723756</v>
      </c>
      <c r="I29" s="157"/>
      <c r="J29" s="268"/>
      <c r="K29" s="269"/>
      <c r="L29" s="280"/>
      <c r="M29" s="268"/>
      <c r="N29" s="269"/>
      <c r="O29" s="280"/>
      <c r="P29" s="279"/>
    </row>
    <row r="30" spans="3:16" ht="27" customHeight="1" x14ac:dyDescent="0.25">
      <c r="C30" s="295" t="s">
        <v>25</v>
      </c>
      <c r="D30" s="301" t="s">
        <v>184</v>
      </c>
      <c r="E30" s="271">
        <f>U7</f>
        <v>113168.59347802246</v>
      </c>
      <c r="F30" s="267">
        <f t="shared" si="0"/>
        <v>104914.20981026356</v>
      </c>
      <c r="G30" s="158"/>
      <c r="H30" s="153">
        <f t="shared" si="1"/>
        <v>8254.3836677589024</v>
      </c>
      <c r="I30" s="158"/>
      <c r="J30" s="268"/>
      <c r="K30" s="269"/>
      <c r="L30" s="280"/>
      <c r="M30" s="268"/>
      <c r="N30" s="269"/>
      <c r="O30" s="280"/>
      <c r="P30" s="279"/>
    </row>
    <row r="31" spans="3:16" ht="27.75" customHeight="1" x14ac:dyDescent="0.25">
      <c r="C31" s="299" t="s">
        <v>26</v>
      </c>
      <c r="D31" s="301" t="s">
        <v>118</v>
      </c>
      <c r="E31" s="271">
        <v>1630</v>
      </c>
      <c r="F31" s="267">
        <v>1630</v>
      </c>
      <c r="G31" s="158"/>
      <c r="H31" s="153">
        <v>0</v>
      </c>
      <c r="I31" s="158"/>
      <c r="J31" s="268"/>
      <c r="K31" s="269"/>
      <c r="L31" s="280"/>
      <c r="M31" s="268"/>
      <c r="N31" s="269"/>
      <c r="O31" s="280"/>
      <c r="P31" s="279"/>
    </row>
    <row r="32" spans="3:16" ht="27.75" customHeight="1" thickBot="1" x14ac:dyDescent="0.3">
      <c r="C32" s="300" t="s">
        <v>83</v>
      </c>
      <c r="D32" s="298" t="s">
        <v>38</v>
      </c>
      <c r="E32" s="289">
        <v>556.78000000000009</v>
      </c>
      <c r="F32" s="252">
        <f>E32</f>
        <v>556.78000000000009</v>
      </c>
      <c r="G32" s="251"/>
      <c r="H32" s="253">
        <v>0</v>
      </c>
      <c r="I32" s="257"/>
      <c r="J32" s="282"/>
      <c r="K32" s="283"/>
      <c r="L32" s="285"/>
      <c r="M32" s="282"/>
      <c r="N32" s="283"/>
      <c r="O32" s="284"/>
      <c r="P32" s="279"/>
    </row>
    <row r="33" spans="3:16" x14ac:dyDescent="0.25">
      <c r="P33" s="276"/>
    </row>
    <row r="37" spans="3:16" ht="15.75" thickBot="1" x14ac:dyDescent="0.3">
      <c r="C37" s="1" t="s">
        <v>41</v>
      </c>
      <c r="D37" s="1"/>
      <c r="E37" s="2"/>
      <c r="F37" s="2"/>
      <c r="G37" s="2"/>
      <c r="H37" s="2"/>
      <c r="I37" s="2"/>
    </row>
    <row r="38" spans="3:16" ht="45" x14ac:dyDescent="0.25">
      <c r="C38" s="2"/>
      <c r="D38" s="435"/>
      <c r="E38" s="3" t="s">
        <v>0</v>
      </c>
      <c r="F38" s="4" t="s">
        <v>114</v>
      </c>
      <c r="G38" s="4"/>
      <c r="H38" s="19" t="s">
        <v>2</v>
      </c>
      <c r="I38" s="117"/>
    </row>
    <row r="39" spans="3:16" ht="30.75" thickBot="1" x14ac:dyDescent="0.3">
      <c r="C39" s="2"/>
      <c r="D39" s="436"/>
      <c r="E39" s="5" t="s">
        <v>3</v>
      </c>
      <c r="F39" s="6" t="s">
        <v>4</v>
      </c>
      <c r="G39" s="6"/>
      <c r="H39" s="7" t="s">
        <v>5</v>
      </c>
      <c r="I39" s="44" t="s">
        <v>6</v>
      </c>
    </row>
    <row r="40" spans="3:16" ht="30" x14ac:dyDescent="0.25">
      <c r="C40" s="2"/>
      <c r="D40" s="8" t="s">
        <v>203</v>
      </c>
      <c r="E40" s="9">
        <v>12017.35</v>
      </c>
      <c r="F40" s="10">
        <v>143</v>
      </c>
      <c r="G40" s="10"/>
      <c r="H40" s="11" t="s">
        <v>11</v>
      </c>
      <c r="I40" s="48">
        <v>1.76</v>
      </c>
    </row>
    <row r="41" spans="3:16" ht="30" x14ac:dyDescent="0.25">
      <c r="C41" s="2"/>
      <c r="D41" s="8" t="s">
        <v>204</v>
      </c>
      <c r="E41" s="9">
        <v>497.67</v>
      </c>
      <c r="F41" s="10">
        <v>30</v>
      </c>
      <c r="G41" s="10"/>
      <c r="H41" s="11" t="s">
        <v>11</v>
      </c>
      <c r="I41" s="48">
        <v>1.76</v>
      </c>
    </row>
    <row r="42" spans="3:16" ht="23.25" customHeight="1" x14ac:dyDescent="0.25">
      <c r="C42" s="2"/>
      <c r="D42" s="8" t="s">
        <v>205</v>
      </c>
      <c r="E42" s="13">
        <v>984.65</v>
      </c>
      <c r="F42" s="12">
        <v>55</v>
      </c>
      <c r="G42" s="12"/>
      <c r="H42" s="11" t="s">
        <v>11</v>
      </c>
      <c r="I42" s="54">
        <v>1.07</v>
      </c>
    </row>
    <row r="43" spans="3:16" ht="15.75" thickBot="1" x14ac:dyDescent="0.3">
      <c r="C43" s="2"/>
      <c r="D43" s="14" t="s">
        <v>8</v>
      </c>
      <c r="E43" s="15">
        <f>SUM(E40:E42)</f>
        <v>13499.67</v>
      </c>
      <c r="F43" s="16">
        <f>SUM(F40:F42)</f>
        <v>228</v>
      </c>
      <c r="G43" s="16"/>
      <c r="H43" s="17"/>
      <c r="I43" s="118"/>
    </row>
    <row r="44" spans="3:16" x14ac:dyDescent="0.25">
      <c r="C44" s="2"/>
      <c r="D44" s="2"/>
      <c r="E44" s="2"/>
      <c r="F44" s="2"/>
      <c r="G44" s="2"/>
      <c r="H44" s="2"/>
      <c r="I44" s="2"/>
    </row>
    <row r="45" spans="3:16" x14ac:dyDescent="0.25">
      <c r="C45" s="2"/>
      <c r="D45" s="2"/>
      <c r="E45" s="2"/>
      <c r="F45" s="2"/>
      <c r="G45" s="2"/>
      <c r="H45" s="2"/>
      <c r="I45" s="2"/>
    </row>
    <row r="46" spans="3:16" ht="30" x14ac:dyDescent="0.25">
      <c r="C46" s="2"/>
      <c r="D46" s="18" t="s">
        <v>9</v>
      </c>
      <c r="E46" s="2"/>
      <c r="F46" s="2"/>
      <c r="G46" s="2"/>
      <c r="H46" s="2"/>
      <c r="I46" s="2"/>
    </row>
    <row r="49" spans="3:25" ht="35.25" customHeight="1" x14ac:dyDescent="0.25"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</row>
    <row r="50" spans="3:25" ht="33" customHeight="1" thickBot="1" x14ac:dyDescent="0.3">
      <c r="C50" s="434" t="s">
        <v>206</v>
      </c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</row>
    <row r="51" spans="3:25" ht="89.25" customHeight="1" thickBot="1" x14ac:dyDescent="0.3">
      <c r="C51" s="345"/>
      <c r="D51" s="346"/>
      <c r="E51" s="447" t="s">
        <v>49</v>
      </c>
      <c r="F51" s="448"/>
      <c r="G51" s="448"/>
      <c r="H51" s="448"/>
      <c r="I51" s="449"/>
      <c r="J51" s="453" t="s">
        <v>50</v>
      </c>
      <c r="K51" s="453"/>
      <c r="L51" s="454"/>
      <c r="M51" s="452" t="s">
        <v>51</v>
      </c>
      <c r="N51" s="453"/>
      <c r="O51" s="452" t="s">
        <v>112</v>
      </c>
      <c r="P51" s="453"/>
      <c r="Q51" s="454"/>
      <c r="R51" s="452" t="s">
        <v>113</v>
      </c>
      <c r="S51" s="454"/>
      <c r="T51" s="455" t="s">
        <v>214</v>
      </c>
      <c r="U51" s="456"/>
      <c r="V51" s="450" t="s">
        <v>215</v>
      </c>
      <c r="W51" s="451"/>
      <c r="X51" s="445" t="s">
        <v>216</v>
      </c>
      <c r="Y51" s="446"/>
    </row>
    <row r="52" spans="3:25" ht="180.75" customHeight="1" thickBot="1" x14ac:dyDescent="0.3">
      <c r="C52" s="408" t="s">
        <v>211</v>
      </c>
      <c r="D52" s="409"/>
      <c r="E52" s="349" t="s">
        <v>218</v>
      </c>
      <c r="F52" s="350" t="s">
        <v>219</v>
      </c>
      <c r="G52" s="351" t="s">
        <v>208</v>
      </c>
      <c r="H52" s="350" t="s">
        <v>207</v>
      </c>
      <c r="I52" s="352" t="s">
        <v>220</v>
      </c>
      <c r="J52" s="353" t="s">
        <v>52</v>
      </c>
      <c r="K52" s="350" t="s">
        <v>209</v>
      </c>
      <c r="L52" s="354" t="s">
        <v>210</v>
      </c>
      <c r="M52" s="347" t="s">
        <v>225</v>
      </c>
      <c r="N52" s="348" t="s">
        <v>226</v>
      </c>
      <c r="O52" s="355" t="s">
        <v>8</v>
      </c>
      <c r="P52" s="356" t="s">
        <v>221</v>
      </c>
      <c r="Q52" s="357" t="s">
        <v>222</v>
      </c>
      <c r="R52" s="349" t="s">
        <v>235</v>
      </c>
      <c r="S52" s="358" t="s">
        <v>234</v>
      </c>
      <c r="T52" s="359" t="s">
        <v>228</v>
      </c>
      <c r="U52" s="360" t="s">
        <v>227</v>
      </c>
      <c r="V52" s="361" t="s">
        <v>229</v>
      </c>
      <c r="W52" s="362" t="s">
        <v>237</v>
      </c>
      <c r="X52" s="380" t="s">
        <v>236</v>
      </c>
      <c r="Y52" s="381" t="s">
        <v>238</v>
      </c>
    </row>
    <row r="53" spans="3:25" ht="12.75" customHeight="1" thickBot="1" x14ac:dyDescent="0.3">
      <c r="C53" s="410"/>
      <c r="D53" s="411"/>
      <c r="E53" s="286">
        <v>1</v>
      </c>
      <c r="F53" s="274">
        <v>2</v>
      </c>
      <c r="G53" s="274">
        <v>3</v>
      </c>
      <c r="H53" s="274">
        <v>4</v>
      </c>
      <c r="I53" s="287">
        <v>5</v>
      </c>
      <c r="J53" s="302">
        <v>6</v>
      </c>
      <c r="K53" s="114">
        <v>7</v>
      </c>
      <c r="L53" s="115">
        <v>8</v>
      </c>
      <c r="M53" s="113">
        <v>9</v>
      </c>
      <c r="N53" s="115">
        <v>10</v>
      </c>
      <c r="O53" s="113">
        <v>11</v>
      </c>
      <c r="P53" s="116">
        <v>12</v>
      </c>
      <c r="Q53" s="115">
        <v>13</v>
      </c>
      <c r="R53" s="303">
        <v>14</v>
      </c>
      <c r="S53" s="304">
        <v>15</v>
      </c>
      <c r="T53" s="113">
        <v>16</v>
      </c>
      <c r="U53" s="115">
        <v>17</v>
      </c>
      <c r="V53" s="290">
        <v>18</v>
      </c>
      <c r="W53" s="294">
        <v>19</v>
      </c>
      <c r="X53" s="113">
        <v>20</v>
      </c>
      <c r="Y53" s="115">
        <v>21</v>
      </c>
    </row>
    <row r="54" spans="3:25" ht="18.75" customHeight="1" x14ac:dyDescent="0.25">
      <c r="C54" s="412" t="s">
        <v>212</v>
      </c>
      <c r="D54" s="413"/>
      <c r="E54" s="305">
        <f>SUM(E55:E66)</f>
        <v>55330.939999999995</v>
      </c>
      <c r="F54" s="306">
        <f>SUM(F55:F66)</f>
        <v>53329.630798849161</v>
      </c>
      <c r="G54" s="307">
        <v>0</v>
      </c>
      <c r="H54" s="306">
        <f>SUM(H55:H66)</f>
        <v>2001.3092011508429</v>
      </c>
      <c r="I54" s="308">
        <f>-O19</f>
        <v>-16914.986921428546</v>
      </c>
      <c r="J54" s="309">
        <f>SUM(J55:J66)</f>
        <v>330412.23583900102</v>
      </c>
      <c r="K54" s="306">
        <f>SUM(K55:K66)</f>
        <v>313782.11297626642</v>
      </c>
      <c r="L54" s="310">
        <f>SUM(L55:L66)</f>
        <v>16630.122862734595</v>
      </c>
      <c r="M54" s="339">
        <f>SUM(M55:M66)+G54</f>
        <v>367111.74377511558</v>
      </c>
      <c r="N54" s="339">
        <f>SUM(N55:N66)+I54</f>
        <v>1716.4451424568942</v>
      </c>
      <c r="O54" s="343">
        <f>SUM(P54:Q54)</f>
        <v>184640.08559999999</v>
      </c>
      <c r="P54" s="307">
        <f>I40*(E40+E41)*8</f>
        <v>176211.4816</v>
      </c>
      <c r="Q54" s="344">
        <f>I42*E42*8</f>
        <v>8428.6040000000012</v>
      </c>
      <c r="R54" s="363">
        <f>M54-P54</f>
        <v>190900.26217511558</v>
      </c>
      <c r="S54" s="364">
        <f>N54-Q54</f>
        <v>-6712.1588575431069</v>
      </c>
      <c r="T54" s="340">
        <f>R54/(E40+E41)/4</f>
        <v>3.8134230343841953</v>
      </c>
      <c r="U54" s="340">
        <f>S54/E42/4</f>
        <v>-1.7041991716709255</v>
      </c>
      <c r="V54" s="341">
        <f>307085/(E40+E41)/12</f>
        <v>2.044776330095091</v>
      </c>
      <c r="W54" s="342">
        <f>18384/E42/12</f>
        <v>1.5558828009952776</v>
      </c>
      <c r="X54" s="341">
        <f>(307085+R54)/(E40+E41)/16</f>
        <v>2.4869380061673669</v>
      </c>
      <c r="Y54" s="342">
        <f>18384/E42/16</f>
        <v>1.1669121007464582</v>
      </c>
    </row>
    <row r="55" spans="3:25" x14ac:dyDescent="0.25">
      <c r="C55" s="295" t="s">
        <v>15</v>
      </c>
      <c r="D55" s="297" t="s">
        <v>217</v>
      </c>
      <c r="E55" s="311">
        <v>0</v>
      </c>
      <c r="F55" s="312">
        <f>E55</f>
        <v>0</v>
      </c>
      <c r="G55" s="313"/>
      <c r="H55" s="314">
        <v>0</v>
      </c>
      <c r="I55" s="315"/>
      <c r="J55" s="316">
        <f>12500-E55</f>
        <v>12500</v>
      </c>
      <c r="K55" s="317">
        <f>12500-F55</f>
        <v>12500</v>
      </c>
      <c r="L55" s="318">
        <v>0</v>
      </c>
      <c r="M55" s="324">
        <f>F55+G55+K55</f>
        <v>12500</v>
      </c>
      <c r="N55" s="325">
        <f t="shared" ref="N55:N65" si="2">H55+I55+L55</f>
        <v>0</v>
      </c>
      <c r="O55" s="405"/>
      <c r="P55" s="399"/>
      <c r="Q55" s="402"/>
      <c r="R55" s="405"/>
      <c r="S55" s="402"/>
      <c r="T55" s="387"/>
      <c r="U55" s="384"/>
      <c r="V55" s="387"/>
      <c r="W55" s="390"/>
      <c r="X55" s="393"/>
      <c r="Y55" s="396"/>
    </row>
    <row r="56" spans="3:25" ht="25.5" x14ac:dyDescent="0.25">
      <c r="C56" s="295" t="s">
        <v>16</v>
      </c>
      <c r="D56" s="297" t="s">
        <v>119</v>
      </c>
      <c r="E56" s="319">
        <v>26614.620000000003</v>
      </c>
      <c r="F56" s="320">
        <v>26614.620000000003</v>
      </c>
      <c r="G56" s="313"/>
      <c r="H56" s="314">
        <v>0</v>
      </c>
      <c r="I56" s="321"/>
      <c r="J56" s="316">
        <f>97058-E56</f>
        <v>70443.38</v>
      </c>
      <c r="K56" s="322">
        <v>70443.38</v>
      </c>
      <c r="L56" s="323">
        <v>0</v>
      </c>
      <c r="M56" s="324">
        <f t="shared" ref="M56:M66" si="3">F56+G56+K56</f>
        <v>97058</v>
      </c>
      <c r="N56" s="325">
        <f t="shared" si="2"/>
        <v>0</v>
      </c>
      <c r="O56" s="406"/>
      <c r="P56" s="400"/>
      <c r="Q56" s="403"/>
      <c r="R56" s="406"/>
      <c r="S56" s="403"/>
      <c r="T56" s="388"/>
      <c r="U56" s="385"/>
      <c r="V56" s="388"/>
      <c r="W56" s="391"/>
      <c r="X56" s="394"/>
      <c r="Y56" s="397"/>
    </row>
    <row r="57" spans="3:25" x14ac:dyDescent="0.25">
      <c r="C57" s="295" t="s">
        <v>17</v>
      </c>
      <c r="D57" s="297" t="s">
        <v>33</v>
      </c>
      <c r="E57" s="311">
        <v>8393.4000000000015</v>
      </c>
      <c r="F57" s="312">
        <f t="shared" ref="F57:F65" si="4">E57/$E$9*($E$6+$E$7)</f>
        <v>7781.1953083297603</v>
      </c>
      <c r="G57" s="313"/>
      <c r="H57" s="314">
        <f t="shared" ref="H57:H59" si="5">E57/$E$9*$E$8</f>
        <v>612.20469167024089</v>
      </c>
      <c r="I57" s="321"/>
      <c r="J57" s="316">
        <f>50492-E57</f>
        <v>42098.6</v>
      </c>
      <c r="K57" s="326">
        <f>J57/$E$43*($E$40+$E$41)</f>
        <v>39027.97779293864</v>
      </c>
      <c r="L57" s="323">
        <f>J57/$E$43*$E$42</f>
        <v>3070.6222070613576</v>
      </c>
      <c r="M57" s="324">
        <f t="shared" si="3"/>
        <v>46809.173101268403</v>
      </c>
      <c r="N57" s="325">
        <f t="shared" si="2"/>
        <v>3682.8268987315987</v>
      </c>
      <c r="O57" s="406"/>
      <c r="P57" s="400"/>
      <c r="Q57" s="403"/>
      <c r="R57" s="406"/>
      <c r="S57" s="403"/>
      <c r="T57" s="388"/>
      <c r="U57" s="385"/>
      <c r="V57" s="388"/>
      <c r="W57" s="391"/>
      <c r="X57" s="394"/>
      <c r="Y57" s="397"/>
    </row>
    <row r="58" spans="3:25" ht="25.5" x14ac:dyDescent="0.25">
      <c r="C58" s="295" t="s">
        <v>18</v>
      </c>
      <c r="D58" s="297" t="s">
        <v>34</v>
      </c>
      <c r="E58" s="311">
        <v>132.24</v>
      </c>
      <c r="F58" s="312">
        <f t="shared" si="4"/>
        <v>122.59457044505533</v>
      </c>
      <c r="G58" s="313"/>
      <c r="H58" s="314">
        <f t="shared" si="5"/>
        <v>9.6454295549446769</v>
      </c>
      <c r="I58" s="321"/>
      <c r="J58" s="316">
        <f>5800-E58</f>
        <v>5667.76</v>
      </c>
      <c r="K58" s="326">
        <f>J58/$E$43*($E$40+$E$41)</f>
        <v>5254.3602736363182</v>
      </c>
      <c r="L58" s="323">
        <f t="shared" ref="L58:L59" si="6">J58/$E$43*$E$42</f>
        <v>413.39972636368145</v>
      </c>
      <c r="M58" s="324">
        <f t="shared" si="3"/>
        <v>5376.9548440813733</v>
      </c>
      <c r="N58" s="325">
        <f t="shared" si="2"/>
        <v>423.04515591862611</v>
      </c>
      <c r="O58" s="406"/>
      <c r="P58" s="400"/>
      <c r="Q58" s="403"/>
      <c r="R58" s="406"/>
      <c r="S58" s="403"/>
      <c r="T58" s="388"/>
      <c r="U58" s="385"/>
      <c r="V58" s="388"/>
      <c r="W58" s="391"/>
      <c r="X58" s="394"/>
      <c r="Y58" s="397"/>
    </row>
    <row r="59" spans="3:25" ht="38.25" x14ac:dyDescent="0.25">
      <c r="C59" s="295" t="s">
        <v>19</v>
      </c>
      <c r="D59" s="297" t="s">
        <v>35</v>
      </c>
      <c r="E59" s="311">
        <v>10000</v>
      </c>
      <c r="F59" s="312">
        <f t="shared" si="4"/>
        <v>9270.6118001402992</v>
      </c>
      <c r="G59" s="313"/>
      <c r="H59" s="314">
        <f t="shared" si="5"/>
        <v>729.38819985970019</v>
      </c>
      <c r="I59" s="321"/>
      <c r="J59" s="316">
        <f>10000-E59</f>
        <v>0</v>
      </c>
      <c r="K59" s="326">
        <f>J59/$E$43*($E$40+$E$41)</f>
        <v>0</v>
      </c>
      <c r="L59" s="323">
        <f t="shared" si="6"/>
        <v>0</v>
      </c>
      <c r="M59" s="324">
        <f t="shared" si="3"/>
        <v>9270.6118001402992</v>
      </c>
      <c r="N59" s="325">
        <f t="shared" si="2"/>
        <v>729.38819985970019</v>
      </c>
      <c r="O59" s="406"/>
      <c r="P59" s="400"/>
      <c r="Q59" s="403"/>
      <c r="R59" s="406"/>
      <c r="S59" s="403"/>
      <c r="T59" s="388"/>
      <c r="U59" s="385"/>
      <c r="V59" s="388"/>
      <c r="W59" s="391"/>
      <c r="X59" s="394"/>
      <c r="Y59" s="397"/>
    </row>
    <row r="60" spans="3:25" ht="25.5" x14ac:dyDescent="0.25">
      <c r="C60" s="295" t="s">
        <v>20</v>
      </c>
      <c r="D60" s="297" t="s">
        <v>36</v>
      </c>
      <c r="E60" s="311">
        <v>0</v>
      </c>
      <c r="F60" s="312">
        <f>E60</f>
        <v>0</v>
      </c>
      <c r="G60" s="313"/>
      <c r="H60" s="314">
        <v>0</v>
      </c>
      <c r="I60" s="321"/>
      <c r="J60" s="316">
        <v>8700</v>
      </c>
      <c r="K60" s="317">
        <v>8700</v>
      </c>
      <c r="L60" s="323">
        <v>0</v>
      </c>
      <c r="M60" s="324">
        <f t="shared" si="3"/>
        <v>8700</v>
      </c>
      <c r="N60" s="325">
        <f t="shared" si="2"/>
        <v>0</v>
      </c>
      <c r="O60" s="406"/>
      <c r="P60" s="400"/>
      <c r="Q60" s="403"/>
      <c r="R60" s="406"/>
      <c r="S60" s="403"/>
      <c r="T60" s="388"/>
      <c r="U60" s="385"/>
      <c r="V60" s="388"/>
      <c r="W60" s="391"/>
      <c r="X60" s="394"/>
      <c r="Y60" s="397"/>
    </row>
    <row r="61" spans="3:25" ht="25.5" x14ac:dyDescent="0.25">
      <c r="C61" s="295" t="s">
        <v>21</v>
      </c>
      <c r="D61" s="297" t="s">
        <v>53</v>
      </c>
      <c r="E61" s="311">
        <v>0</v>
      </c>
      <c r="F61" s="312">
        <f>E61</f>
        <v>0</v>
      </c>
      <c r="G61" s="313"/>
      <c r="H61" s="314">
        <v>0</v>
      </c>
      <c r="I61" s="321"/>
      <c r="J61" s="316">
        <v>6900</v>
      </c>
      <c r="K61" s="317">
        <v>6900</v>
      </c>
      <c r="L61" s="323">
        <v>0</v>
      </c>
      <c r="M61" s="324">
        <f t="shared" si="3"/>
        <v>6900</v>
      </c>
      <c r="N61" s="325">
        <f t="shared" si="2"/>
        <v>0</v>
      </c>
      <c r="O61" s="406"/>
      <c r="P61" s="400"/>
      <c r="Q61" s="403"/>
      <c r="R61" s="406"/>
      <c r="S61" s="403"/>
      <c r="T61" s="388"/>
      <c r="U61" s="385"/>
      <c r="V61" s="388"/>
      <c r="W61" s="391"/>
      <c r="X61" s="394"/>
      <c r="Y61" s="397"/>
    </row>
    <row r="62" spans="3:25" ht="25.5" x14ac:dyDescent="0.25">
      <c r="C62" s="295" t="s">
        <v>22</v>
      </c>
      <c r="D62" s="297" t="s">
        <v>39</v>
      </c>
      <c r="E62" s="311">
        <v>1005.5</v>
      </c>
      <c r="F62" s="320">
        <v>1005.5</v>
      </c>
      <c r="G62" s="313"/>
      <c r="H62" s="314">
        <v>0</v>
      </c>
      <c r="I62" s="321"/>
      <c r="J62" s="316">
        <f>4600-E62</f>
        <v>3594.5</v>
      </c>
      <c r="K62" s="322">
        <f>4600-F62</f>
        <v>3594.5</v>
      </c>
      <c r="L62" s="323">
        <v>0</v>
      </c>
      <c r="M62" s="324">
        <f t="shared" si="3"/>
        <v>4600</v>
      </c>
      <c r="N62" s="325">
        <f t="shared" si="2"/>
        <v>0</v>
      </c>
      <c r="O62" s="406"/>
      <c r="P62" s="400"/>
      <c r="Q62" s="403"/>
      <c r="R62" s="406"/>
      <c r="S62" s="403"/>
      <c r="T62" s="388"/>
      <c r="U62" s="385"/>
      <c r="V62" s="388"/>
      <c r="W62" s="391"/>
      <c r="X62" s="394"/>
      <c r="Y62" s="397"/>
    </row>
    <row r="63" spans="3:25" ht="25.5" x14ac:dyDescent="0.25">
      <c r="C63" s="295" t="s">
        <v>23</v>
      </c>
      <c r="D63" s="297" t="s">
        <v>40</v>
      </c>
      <c r="E63" s="311">
        <v>8588.5499999999993</v>
      </c>
      <c r="F63" s="312">
        <f t="shared" si="4"/>
        <v>7962.1112976094964</v>
      </c>
      <c r="G63" s="313"/>
      <c r="H63" s="314">
        <f t="shared" ref="H63:H65" si="7">E63/$E$9*$E$8</f>
        <v>626.43870239050273</v>
      </c>
      <c r="I63" s="321"/>
      <c r="J63" s="316">
        <v>0</v>
      </c>
      <c r="K63" s="326">
        <f>J63/$E$43*($E$40+$E$41)</f>
        <v>0</v>
      </c>
      <c r="L63" s="323">
        <f t="shared" ref="L63:L65" si="8">J63/$E$43*$E$42</f>
        <v>0</v>
      </c>
      <c r="M63" s="324">
        <f t="shared" si="3"/>
        <v>7962.1112976094964</v>
      </c>
      <c r="N63" s="325">
        <f t="shared" si="2"/>
        <v>626.43870239050273</v>
      </c>
      <c r="O63" s="406"/>
      <c r="P63" s="400"/>
      <c r="Q63" s="403"/>
      <c r="R63" s="406"/>
      <c r="S63" s="403"/>
      <c r="T63" s="388"/>
      <c r="U63" s="385"/>
      <c r="V63" s="388"/>
      <c r="W63" s="391"/>
      <c r="X63" s="394"/>
      <c r="Y63" s="397"/>
    </row>
    <row r="64" spans="3:25" x14ac:dyDescent="0.25">
      <c r="C64" s="295" t="s">
        <v>24</v>
      </c>
      <c r="D64" s="297" t="s">
        <v>115</v>
      </c>
      <c r="E64" s="311">
        <v>324</v>
      </c>
      <c r="F64" s="312">
        <f t="shared" si="4"/>
        <v>300.36782232454573</v>
      </c>
      <c r="G64" s="327"/>
      <c r="H64" s="314">
        <f t="shared" ref="H64" si="9">E64/$E$9*$E$8</f>
        <v>23.632177675454287</v>
      </c>
      <c r="I64" s="328"/>
      <c r="J64" s="316">
        <f>38000-E64</f>
        <v>37676</v>
      </c>
      <c r="K64" s="326">
        <f t="shared" ref="K64:K65" si="10">J64/$E$43*($E$40+$E$41)</f>
        <v>34927.957018208595</v>
      </c>
      <c r="L64" s="323">
        <f t="shared" si="8"/>
        <v>2748.0429817914069</v>
      </c>
      <c r="M64" s="324">
        <f t="shared" si="3"/>
        <v>35228.32484053314</v>
      </c>
      <c r="N64" s="325">
        <f t="shared" si="2"/>
        <v>2771.6751594668613</v>
      </c>
      <c r="O64" s="406"/>
      <c r="P64" s="400"/>
      <c r="Q64" s="403"/>
      <c r="R64" s="406"/>
      <c r="S64" s="403"/>
      <c r="T64" s="388"/>
      <c r="U64" s="385"/>
      <c r="V64" s="388"/>
      <c r="W64" s="391"/>
      <c r="X64" s="394"/>
      <c r="Y64" s="397"/>
    </row>
    <row r="65" spans="3:25" ht="25.5" x14ac:dyDescent="0.25">
      <c r="C65" s="295" t="s">
        <v>25</v>
      </c>
      <c r="D65" s="297" t="s">
        <v>54</v>
      </c>
      <c r="E65" s="311">
        <v>0</v>
      </c>
      <c r="F65" s="312">
        <f t="shared" si="4"/>
        <v>0</v>
      </c>
      <c r="G65" s="327"/>
      <c r="H65" s="314">
        <f t="shared" si="7"/>
        <v>0</v>
      </c>
      <c r="I65" s="328"/>
      <c r="J65" s="316">
        <v>142558.625839001</v>
      </c>
      <c r="K65" s="326">
        <f t="shared" si="10"/>
        <v>132160.56789148285</v>
      </c>
      <c r="L65" s="323">
        <f t="shared" si="8"/>
        <v>10398.057947518149</v>
      </c>
      <c r="M65" s="324">
        <f t="shared" si="3"/>
        <v>132160.56789148285</v>
      </c>
      <c r="N65" s="325">
        <f t="shared" si="2"/>
        <v>10398.057947518149</v>
      </c>
      <c r="O65" s="406"/>
      <c r="P65" s="400"/>
      <c r="Q65" s="403"/>
      <c r="R65" s="406"/>
      <c r="S65" s="403"/>
      <c r="T65" s="388"/>
      <c r="U65" s="385"/>
      <c r="V65" s="388"/>
      <c r="W65" s="391"/>
      <c r="X65" s="394"/>
      <c r="Y65" s="397"/>
    </row>
    <row r="66" spans="3:25" ht="26.25" thickBot="1" x14ac:dyDescent="0.3">
      <c r="C66" s="296" t="s">
        <v>26</v>
      </c>
      <c r="D66" s="298" t="s">
        <v>38</v>
      </c>
      <c r="E66" s="329">
        <v>272.63</v>
      </c>
      <c r="F66" s="330">
        <v>272.63</v>
      </c>
      <c r="G66" s="331"/>
      <c r="H66" s="332">
        <v>0</v>
      </c>
      <c r="I66" s="333"/>
      <c r="J66" s="334">
        <f>546-E66</f>
        <v>273.37</v>
      </c>
      <c r="K66" s="335">
        <v>273.37</v>
      </c>
      <c r="L66" s="336">
        <v>0</v>
      </c>
      <c r="M66" s="337">
        <f t="shared" si="3"/>
        <v>546</v>
      </c>
      <c r="N66" s="338">
        <f>I66</f>
        <v>0</v>
      </c>
      <c r="O66" s="407"/>
      <c r="P66" s="401"/>
      <c r="Q66" s="404"/>
      <c r="R66" s="407"/>
      <c r="S66" s="404"/>
      <c r="T66" s="389"/>
      <c r="U66" s="386"/>
      <c r="V66" s="389"/>
      <c r="W66" s="392"/>
      <c r="X66" s="395"/>
      <c r="Y66" s="398"/>
    </row>
  </sheetData>
  <sheetProtection sheet="1" objects="1" scenarios="1"/>
  <mergeCells count="44">
    <mergeCell ref="C49:R49"/>
    <mergeCell ref="K10:L10"/>
    <mergeCell ref="X51:Y51"/>
    <mergeCell ref="E51:I51"/>
    <mergeCell ref="V51:W51"/>
    <mergeCell ref="M51:N51"/>
    <mergeCell ref="J51:L51"/>
    <mergeCell ref="R51:S51"/>
    <mergeCell ref="T51:U51"/>
    <mergeCell ref="O51:Q51"/>
    <mergeCell ref="C16:D18"/>
    <mergeCell ref="C19:D19"/>
    <mergeCell ref="D4:D5"/>
    <mergeCell ref="D38:D39"/>
    <mergeCell ref="C15:P15"/>
    <mergeCell ref="E16:I16"/>
    <mergeCell ref="J16:L16"/>
    <mergeCell ref="M16:O16"/>
    <mergeCell ref="C52:D53"/>
    <mergeCell ref="C54:D54"/>
    <mergeCell ref="O55:O66"/>
    <mergeCell ref="B1:P1"/>
    <mergeCell ref="Q5:S6"/>
    <mergeCell ref="Q7:S7"/>
    <mergeCell ref="Q8:S8"/>
    <mergeCell ref="Q9:S9"/>
    <mergeCell ref="K4:L4"/>
    <mergeCell ref="K5:L5"/>
    <mergeCell ref="K6:L6"/>
    <mergeCell ref="K7:L7"/>
    <mergeCell ref="K8:L8"/>
    <mergeCell ref="K9:L9"/>
    <mergeCell ref="H4:I4"/>
    <mergeCell ref="C50:S50"/>
    <mergeCell ref="P55:P66"/>
    <mergeCell ref="Q55:Q66"/>
    <mergeCell ref="R55:R66"/>
    <mergeCell ref="S55:S66"/>
    <mergeCell ref="T55:T66"/>
    <mergeCell ref="U55:U66"/>
    <mergeCell ref="V55:V66"/>
    <mergeCell ref="W55:W66"/>
    <mergeCell ref="X55:X66"/>
    <mergeCell ref="Y55:Y66"/>
  </mergeCells>
  <pageMargins left="0.7" right="0.7" top="0.75" bottom="0.75" header="0.3" footer="0.3"/>
  <pageSetup paperSize="9" scale="33" orientation="landscape" verticalDpi="360" r:id="rId1"/>
  <rowBreaks count="1" manualBreakCount="1">
    <brk id="34" max="16383" man="1"/>
  </rowBreaks>
  <ignoredErrors>
    <ignoredError sqref="S54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X96"/>
  <sheetViews>
    <sheetView tabSelected="1" topLeftCell="A71" zoomScaleNormal="100" zoomScaleSheetLayoutView="50" zoomScalePageLayoutView="50" workbookViewId="0">
      <selection activeCell="F72" sqref="F72"/>
    </sheetView>
  </sheetViews>
  <sheetFormatPr defaultRowHeight="15" x14ac:dyDescent="0.25"/>
  <cols>
    <col min="2" max="2" width="6.5703125" customWidth="1"/>
    <col min="3" max="3" width="42.7109375" customWidth="1"/>
    <col min="4" max="4" width="12.7109375" customWidth="1"/>
    <col min="5" max="5" width="12.5703125" customWidth="1"/>
    <col min="6" max="8" width="13.140625" customWidth="1"/>
    <col min="9" max="9" width="13.28515625" customWidth="1"/>
    <col min="10" max="10" width="11.5703125" customWidth="1"/>
    <col min="11" max="11" width="11.28515625" customWidth="1"/>
    <col min="12" max="12" width="11.85546875" customWidth="1"/>
    <col min="13" max="13" width="12.28515625" customWidth="1"/>
    <col min="14" max="14" width="12" customWidth="1"/>
    <col min="15" max="16" width="12.140625" customWidth="1"/>
    <col min="17" max="17" width="12" customWidth="1"/>
    <col min="18" max="18" width="13.85546875" customWidth="1"/>
    <col min="19" max="19" width="14.85546875" customWidth="1"/>
    <col min="20" max="20" width="12" customWidth="1"/>
    <col min="21" max="21" width="12.7109375" customWidth="1"/>
    <col min="22" max="22" width="14.140625" customWidth="1"/>
  </cols>
  <sheetData>
    <row r="1" spans="1:17" ht="54" customHeight="1" x14ac:dyDescent="0.35">
      <c r="A1" s="496" t="s">
        <v>178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</row>
    <row r="2" spans="1:17" ht="21.75" customHeight="1" x14ac:dyDescent="0.25">
      <c r="A2" s="475" t="s">
        <v>231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1:17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7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38"/>
      <c r="P6" s="38"/>
      <c r="Q6" s="38"/>
    </row>
    <row r="7" spans="1:17" ht="15.75" thickBot="1" x14ac:dyDescent="0.3">
      <c r="B7" s="1"/>
      <c r="C7" s="1" t="s">
        <v>42</v>
      </c>
      <c r="D7" s="2"/>
      <c r="E7" s="2"/>
      <c r="F7" s="2"/>
      <c r="G7" s="2"/>
      <c r="H7" s="2"/>
      <c r="I7" s="2"/>
      <c r="J7" s="2"/>
      <c r="K7" s="2"/>
      <c r="L7" s="2"/>
      <c r="M7" s="39" t="s">
        <v>188</v>
      </c>
      <c r="O7" s="38"/>
      <c r="P7" s="38"/>
      <c r="Q7" s="38"/>
    </row>
    <row r="8" spans="1:17" ht="48.75" customHeight="1" x14ac:dyDescent="0.25">
      <c r="B8" s="2"/>
      <c r="C8" s="435"/>
      <c r="D8" s="372" t="s">
        <v>0</v>
      </c>
      <c r="E8" s="4" t="s">
        <v>1</v>
      </c>
      <c r="F8" s="4"/>
      <c r="G8" s="497" t="s">
        <v>2</v>
      </c>
      <c r="H8" s="489"/>
      <c r="I8" s="490"/>
      <c r="J8" s="489" t="s">
        <v>59</v>
      </c>
      <c r="K8" s="490"/>
      <c r="L8" s="40"/>
      <c r="M8" s="415"/>
      <c r="N8" s="416"/>
      <c r="O8" s="416"/>
      <c r="P8" s="119" t="s">
        <v>0</v>
      </c>
      <c r="Q8" s="92" t="s">
        <v>189</v>
      </c>
    </row>
    <row r="9" spans="1:17" ht="38.25" customHeight="1" thickBot="1" x14ac:dyDescent="0.3">
      <c r="B9" s="2"/>
      <c r="C9" s="436"/>
      <c r="D9" s="5" t="s">
        <v>3</v>
      </c>
      <c r="E9" s="6" t="s">
        <v>4</v>
      </c>
      <c r="F9" s="6"/>
      <c r="G9" s="7" t="s">
        <v>5</v>
      </c>
      <c r="H9" s="43"/>
      <c r="I9" s="44" t="s">
        <v>6</v>
      </c>
      <c r="J9" s="43" t="s">
        <v>5</v>
      </c>
      <c r="K9" s="44" t="s">
        <v>6</v>
      </c>
      <c r="L9" s="40"/>
      <c r="M9" s="417"/>
      <c r="N9" s="418"/>
      <c r="O9" s="418"/>
      <c r="P9" s="142" t="s">
        <v>3</v>
      </c>
      <c r="Q9" s="123" t="s">
        <v>60</v>
      </c>
    </row>
    <row r="10" spans="1:17" ht="46.5" customHeight="1" x14ac:dyDescent="0.25">
      <c r="B10" s="2"/>
      <c r="C10" s="121" t="s">
        <v>132</v>
      </c>
      <c r="D10" s="9">
        <v>12017.35</v>
      </c>
      <c r="E10" s="10">
        <v>143</v>
      </c>
      <c r="F10" s="10"/>
      <c r="G10" s="11" t="s">
        <v>61</v>
      </c>
      <c r="H10" s="47"/>
      <c r="I10" s="48">
        <v>0.21</v>
      </c>
      <c r="J10" s="47" t="s">
        <v>62</v>
      </c>
      <c r="K10" s="48">
        <v>62.5</v>
      </c>
      <c r="L10" s="49"/>
      <c r="M10" s="419" t="s">
        <v>137</v>
      </c>
      <c r="N10" s="420"/>
      <c r="O10" s="421"/>
      <c r="P10" s="124">
        <f>D10+D12</f>
        <v>13499.67</v>
      </c>
      <c r="Q10" s="141">
        <f>Q12/P12*P10</f>
        <v>113168.59347802246</v>
      </c>
    </row>
    <row r="11" spans="1:17" ht="37.5" customHeight="1" thickBot="1" x14ac:dyDescent="0.3">
      <c r="B11" s="2"/>
      <c r="C11" s="121" t="s">
        <v>64</v>
      </c>
      <c r="D11" s="51">
        <v>6357.35</v>
      </c>
      <c r="E11" s="12">
        <v>37</v>
      </c>
      <c r="F11" s="12"/>
      <c r="G11" s="52" t="s">
        <v>65</v>
      </c>
      <c r="H11" s="53"/>
      <c r="I11" s="54">
        <v>117.5</v>
      </c>
      <c r="J11" s="53" t="s">
        <v>62</v>
      </c>
      <c r="K11" s="54">
        <v>62.5</v>
      </c>
      <c r="L11" s="49"/>
      <c r="M11" s="422" t="s">
        <v>66</v>
      </c>
      <c r="N11" s="423"/>
      <c r="O11" s="424"/>
      <c r="P11" s="139">
        <v>15441</v>
      </c>
      <c r="Q11" s="144">
        <f>Q12/P12*P11</f>
        <v>129442.88652197756</v>
      </c>
    </row>
    <row r="12" spans="1:17" ht="30.75" thickBot="1" x14ac:dyDescent="0.3">
      <c r="B12" s="2"/>
      <c r="C12" s="125" t="s">
        <v>131</v>
      </c>
      <c r="D12" s="126">
        <v>1482.32</v>
      </c>
      <c r="E12" s="127">
        <v>0</v>
      </c>
      <c r="F12" s="127"/>
      <c r="G12" s="128" t="s">
        <v>61</v>
      </c>
      <c r="H12" s="129"/>
      <c r="I12" s="130">
        <v>0.17</v>
      </c>
      <c r="J12" s="129" t="s">
        <v>62</v>
      </c>
      <c r="K12" s="130">
        <v>0</v>
      </c>
      <c r="L12" s="49"/>
      <c r="M12" s="425" t="s">
        <v>8</v>
      </c>
      <c r="N12" s="426"/>
      <c r="O12" s="427"/>
      <c r="P12" s="143">
        <f>SUM(P10:P11)</f>
        <v>28940.67</v>
      </c>
      <c r="Q12" s="140">
        <v>242611.48</v>
      </c>
    </row>
    <row r="13" spans="1:17" ht="21.75" customHeight="1" thickBot="1" x14ac:dyDescent="0.3">
      <c r="B13" s="2"/>
      <c r="C13" s="131" t="s">
        <v>8</v>
      </c>
      <c r="D13" s="132">
        <f>SUM(D10:D12)</f>
        <v>19857.02</v>
      </c>
      <c r="E13" s="133">
        <f>E10+E11</f>
        <v>180</v>
      </c>
      <c r="F13" s="133"/>
      <c r="G13" s="134"/>
      <c r="H13" s="135"/>
      <c r="I13" s="136"/>
      <c r="J13" s="137"/>
      <c r="K13" s="138"/>
      <c r="L13" s="49"/>
      <c r="M13" s="49"/>
      <c r="O13" s="49"/>
      <c r="P13" s="49"/>
      <c r="Q13" s="38"/>
    </row>
    <row r="14" spans="1:17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38"/>
      <c r="P14" s="38"/>
      <c r="Q14" s="38"/>
    </row>
    <row r="15" spans="1:17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38"/>
      <c r="P15" s="38"/>
      <c r="Q15" s="38"/>
    </row>
    <row r="16" spans="1:17" x14ac:dyDescent="0.25">
      <c r="B16" s="2"/>
      <c r="C16" s="18" t="s">
        <v>68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22" ht="30" x14ac:dyDescent="0.25">
      <c r="B17" s="2"/>
      <c r="C17" s="18" t="s">
        <v>69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22" x14ac:dyDescent="0.25">
      <c r="B18" s="2"/>
      <c r="C18" s="18" t="s">
        <v>70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2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22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22" x14ac:dyDescent="0.25">
      <c r="A21" s="37"/>
      <c r="B21" s="58"/>
      <c r="C21" s="58"/>
      <c r="D21" s="59"/>
      <c r="E21" s="59"/>
      <c r="F21" s="59"/>
      <c r="G21" s="59"/>
      <c r="H21" s="59"/>
      <c r="I21" s="59"/>
      <c r="J21" s="59"/>
      <c r="K21" s="37"/>
      <c r="L21" s="37"/>
      <c r="M21" s="37"/>
      <c r="N21" s="37"/>
      <c r="O21" s="38"/>
      <c r="P21" s="60"/>
      <c r="Q21" s="60"/>
    </row>
    <row r="22" spans="1:22" ht="34.5" customHeight="1" thickBot="1" x14ac:dyDescent="0.3">
      <c r="A22" s="37"/>
      <c r="B22" s="434" t="s">
        <v>154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</row>
    <row r="23" spans="1:22" ht="72" customHeight="1" x14ac:dyDescent="0.25">
      <c r="A23" s="37"/>
      <c r="B23" s="457"/>
      <c r="C23" s="498"/>
      <c r="D23" s="438" t="s">
        <v>138</v>
      </c>
      <c r="E23" s="439"/>
      <c r="F23" s="439"/>
      <c r="G23" s="439"/>
      <c r="H23" s="439"/>
      <c r="I23" s="440"/>
      <c r="J23" s="501" t="s">
        <v>13</v>
      </c>
      <c r="K23" s="468"/>
      <c r="L23" s="468"/>
      <c r="M23" s="502"/>
      <c r="N23" s="467" t="s">
        <v>14</v>
      </c>
      <c r="O23" s="468"/>
      <c r="P23" s="468"/>
      <c r="Q23" s="469"/>
      <c r="T23" s="61"/>
      <c r="U23" s="61"/>
      <c r="V23" s="61"/>
    </row>
    <row r="24" spans="1:22" ht="157.5" x14ac:dyDescent="0.25">
      <c r="A24" s="37"/>
      <c r="B24" s="408"/>
      <c r="C24" s="499"/>
      <c r="D24" s="150" t="s">
        <v>143</v>
      </c>
      <c r="E24" s="145" t="s">
        <v>195</v>
      </c>
      <c r="F24" s="148" t="s">
        <v>144</v>
      </c>
      <c r="G24" s="145" t="s">
        <v>196</v>
      </c>
      <c r="H24" s="148" t="s">
        <v>145</v>
      </c>
      <c r="I24" s="147" t="s">
        <v>152</v>
      </c>
      <c r="J24" s="160" t="s">
        <v>139</v>
      </c>
      <c r="K24" s="145" t="s">
        <v>140</v>
      </c>
      <c r="L24" s="145" t="s">
        <v>141</v>
      </c>
      <c r="M24" s="151" t="s">
        <v>142</v>
      </c>
      <c r="N24" s="150" t="s">
        <v>151</v>
      </c>
      <c r="O24" s="162" t="s">
        <v>148</v>
      </c>
      <c r="P24" s="162" t="s">
        <v>149</v>
      </c>
      <c r="Q24" s="163" t="s">
        <v>150</v>
      </c>
      <c r="R24" s="62"/>
      <c r="T24" s="63"/>
      <c r="U24" s="63"/>
      <c r="V24" s="61"/>
    </row>
    <row r="25" spans="1:22" ht="12" customHeight="1" thickBot="1" x14ac:dyDescent="0.3">
      <c r="A25" s="37"/>
      <c r="B25" s="410"/>
      <c r="C25" s="500"/>
      <c r="D25" s="262">
        <v>1</v>
      </c>
      <c r="E25" s="22">
        <v>2</v>
      </c>
      <c r="F25" s="22">
        <v>3</v>
      </c>
      <c r="G25" s="22">
        <v>4</v>
      </c>
      <c r="H25" s="23">
        <v>5</v>
      </c>
      <c r="I25" s="24">
        <v>6</v>
      </c>
      <c r="J25" s="36">
        <v>7</v>
      </c>
      <c r="K25" s="22">
        <v>8</v>
      </c>
      <c r="L25" s="22">
        <v>9</v>
      </c>
      <c r="M25" s="23">
        <v>10</v>
      </c>
      <c r="N25" s="21">
        <v>11</v>
      </c>
      <c r="O25" s="23">
        <v>12</v>
      </c>
      <c r="P25" s="22">
        <v>13</v>
      </c>
      <c r="Q25" s="24">
        <v>14</v>
      </c>
      <c r="T25" s="61"/>
      <c r="U25" s="64"/>
      <c r="V25" s="61"/>
    </row>
    <row r="26" spans="1:22" x14ac:dyDescent="0.25">
      <c r="A26" s="38"/>
      <c r="B26" s="459" t="s">
        <v>71</v>
      </c>
      <c r="C26" s="470"/>
      <c r="D26" s="65">
        <f>SUM(D27:D50)</f>
        <v>328324.97652197757</v>
      </c>
      <c r="E26" s="25">
        <f>D26/$E$13*$E$10</f>
        <v>260835.95357023773</v>
      </c>
      <c r="F26" s="181">
        <v>-26317.5907569706</v>
      </c>
      <c r="G26" s="180">
        <f>D26/$E$13*$E$11</f>
        <v>67489.022951739826</v>
      </c>
      <c r="H26" s="155">
        <v>66466.885154661606</v>
      </c>
      <c r="I26" s="156">
        <v>25769.057724034599</v>
      </c>
      <c r="J26" s="260">
        <f>SUM(K26:M26)</f>
        <v>335745.90199999994</v>
      </c>
      <c r="K26" s="25">
        <f>I10*D10*12+250225.46</f>
        <v>280509.18199999997</v>
      </c>
      <c r="L26" s="25">
        <f>I11*E11*12</f>
        <v>52170</v>
      </c>
      <c r="M26" s="66">
        <v>3066.72</v>
      </c>
      <c r="N26" s="67">
        <f>J26-D26-F26-H26-I26</f>
        <v>-58497.426643703235</v>
      </c>
      <c r="O26" s="35">
        <f>K26-E26-F26</f>
        <v>45990.819186732842</v>
      </c>
      <c r="P26" s="68">
        <f>L26-G26-H26</f>
        <v>-81785.908106401432</v>
      </c>
      <c r="Q26" s="34">
        <f>M26-I26</f>
        <v>-22702.337724034598</v>
      </c>
      <c r="S26" s="164"/>
      <c r="T26" s="61"/>
      <c r="U26" s="69"/>
      <c r="V26" s="61"/>
    </row>
    <row r="27" spans="1:22" ht="15" customHeight="1" x14ac:dyDescent="0.25">
      <c r="A27" s="70"/>
      <c r="B27" s="26" t="s">
        <v>15</v>
      </c>
      <c r="C27" s="27" t="s">
        <v>72</v>
      </c>
      <c r="D27" s="271">
        <v>96332.08</v>
      </c>
      <c r="E27" s="28">
        <f t="shared" ref="E27:E51" si="0">D27/$E$13*$E$10</f>
        <v>76530.48577777778</v>
      </c>
      <c r="F27" s="157"/>
      <c r="G27" s="153">
        <f t="shared" ref="G27:G50" si="1">D27/$E$13*$E$11</f>
        <v>19801.594222222222</v>
      </c>
      <c r="H27" s="157"/>
      <c r="I27" s="161"/>
      <c r="J27" s="476"/>
      <c r="K27" s="479"/>
      <c r="L27" s="479"/>
      <c r="M27" s="482"/>
      <c r="N27" s="476"/>
      <c r="O27" s="479"/>
      <c r="P27" s="479"/>
      <c r="Q27" s="482"/>
      <c r="T27" s="61"/>
      <c r="U27" s="69"/>
      <c r="V27" s="61"/>
    </row>
    <row r="28" spans="1:22" x14ac:dyDescent="0.25">
      <c r="A28" s="70"/>
      <c r="B28" s="26" t="s">
        <v>16</v>
      </c>
      <c r="C28" s="27" t="s">
        <v>133</v>
      </c>
      <c r="D28" s="271">
        <v>3152.84</v>
      </c>
      <c r="E28" s="28">
        <f t="shared" si="0"/>
        <v>2504.7562222222223</v>
      </c>
      <c r="F28" s="157"/>
      <c r="G28" s="153">
        <f t="shared" si="1"/>
        <v>648.08377777777775</v>
      </c>
      <c r="H28" s="157"/>
      <c r="I28" s="161"/>
      <c r="J28" s="477"/>
      <c r="K28" s="480"/>
      <c r="L28" s="480"/>
      <c r="M28" s="483"/>
      <c r="N28" s="477"/>
      <c r="O28" s="480"/>
      <c r="P28" s="480"/>
      <c r="Q28" s="483"/>
      <c r="T28" s="61"/>
      <c r="U28" s="69"/>
      <c r="V28" s="61"/>
    </row>
    <row r="29" spans="1:22" x14ac:dyDescent="0.25">
      <c r="A29" s="70"/>
      <c r="B29" s="26" t="s">
        <v>17</v>
      </c>
      <c r="C29" s="27" t="s">
        <v>73</v>
      </c>
      <c r="D29" s="271">
        <v>4137.95</v>
      </c>
      <c r="E29" s="28">
        <f t="shared" si="0"/>
        <v>3287.3713888888883</v>
      </c>
      <c r="F29" s="157"/>
      <c r="G29" s="153">
        <f t="shared" si="1"/>
        <v>850.57861111111106</v>
      </c>
      <c r="H29" s="157"/>
      <c r="I29" s="161"/>
      <c r="J29" s="477"/>
      <c r="K29" s="480"/>
      <c r="L29" s="480"/>
      <c r="M29" s="483"/>
      <c r="N29" s="477"/>
      <c r="O29" s="480"/>
      <c r="P29" s="480"/>
      <c r="Q29" s="483"/>
      <c r="T29" s="61"/>
      <c r="U29" s="69"/>
      <c r="V29" s="61"/>
    </row>
    <row r="30" spans="1:22" x14ac:dyDescent="0.25">
      <c r="A30" s="70"/>
      <c r="B30" s="26" t="s">
        <v>18</v>
      </c>
      <c r="C30" s="27" t="s">
        <v>74</v>
      </c>
      <c r="D30" s="271">
        <v>18228</v>
      </c>
      <c r="E30" s="28">
        <f t="shared" si="0"/>
        <v>14481.133333333333</v>
      </c>
      <c r="F30" s="157"/>
      <c r="G30" s="153">
        <f t="shared" si="1"/>
        <v>3746.8666666666668</v>
      </c>
      <c r="H30" s="157"/>
      <c r="I30" s="161"/>
      <c r="J30" s="477"/>
      <c r="K30" s="480"/>
      <c r="L30" s="480"/>
      <c r="M30" s="483"/>
      <c r="N30" s="477"/>
      <c r="O30" s="480"/>
      <c r="P30" s="480"/>
      <c r="Q30" s="483"/>
      <c r="T30" s="61"/>
      <c r="U30" s="69"/>
      <c r="V30" s="61"/>
    </row>
    <row r="31" spans="1:22" x14ac:dyDescent="0.25">
      <c r="A31" s="70"/>
      <c r="B31" s="26" t="s">
        <v>19</v>
      </c>
      <c r="C31" s="27" t="s">
        <v>75</v>
      </c>
      <c r="D31" s="271">
        <v>2127.0100000000002</v>
      </c>
      <c r="E31" s="28">
        <f t="shared" si="0"/>
        <v>1689.7912777777779</v>
      </c>
      <c r="F31" s="157"/>
      <c r="G31" s="153">
        <f t="shared" si="1"/>
        <v>437.21872222222225</v>
      </c>
      <c r="H31" s="157"/>
      <c r="I31" s="161"/>
      <c r="J31" s="477"/>
      <c r="K31" s="480"/>
      <c r="L31" s="480"/>
      <c r="M31" s="483"/>
      <c r="N31" s="477"/>
      <c r="O31" s="480"/>
      <c r="P31" s="480"/>
      <c r="Q31" s="483"/>
      <c r="T31" s="61"/>
      <c r="U31" s="69"/>
      <c r="V31" s="61"/>
    </row>
    <row r="32" spans="1:22" x14ac:dyDescent="0.25">
      <c r="A32" s="70"/>
      <c r="B32" s="26" t="s">
        <v>20</v>
      </c>
      <c r="C32" s="27" t="s">
        <v>76</v>
      </c>
      <c r="D32" s="271">
        <v>922.5</v>
      </c>
      <c r="E32" s="28">
        <f t="shared" si="0"/>
        <v>732.875</v>
      </c>
      <c r="F32" s="157"/>
      <c r="G32" s="153">
        <f t="shared" si="1"/>
        <v>189.625</v>
      </c>
      <c r="H32" s="157"/>
      <c r="I32" s="161"/>
      <c r="J32" s="477"/>
      <c r="K32" s="480"/>
      <c r="L32" s="480"/>
      <c r="M32" s="483"/>
      <c r="N32" s="477"/>
      <c r="O32" s="480"/>
      <c r="P32" s="480"/>
      <c r="Q32" s="483"/>
      <c r="T32" s="61"/>
      <c r="U32" s="69"/>
      <c r="V32" s="61"/>
    </row>
    <row r="33" spans="1:22" x14ac:dyDescent="0.25">
      <c r="A33" s="70"/>
      <c r="B33" s="26" t="s">
        <v>21</v>
      </c>
      <c r="C33" s="27" t="s">
        <v>77</v>
      </c>
      <c r="D33" s="271">
        <v>7778.17</v>
      </c>
      <c r="E33" s="28">
        <f t="shared" si="0"/>
        <v>6179.3239444444453</v>
      </c>
      <c r="F33" s="157"/>
      <c r="G33" s="153">
        <f t="shared" si="1"/>
        <v>1598.8460555555557</v>
      </c>
      <c r="H33" s="157"/>
      <c r="I33" s="161"/>
      <c r="J33" s="477"/>
      <c r="K33" s="480"/>
      <c r="L33" s="480"/>
      <c r="M33" s="483"/>
      <c r="N33" s="477"/>
      <c r="O33" s="480"/>
      <c r="P33" s="480"/>
      <c r="Q33" s="483"/>
      <c r="T33" s="61"/>
      <c r="U33" s="69"/>
      <c r="V33" s="61"/>
    </row>
    <row r="34" spans="1:22" x14ac:dyDescent="0.25">
      <c r="A34" s="70"/>
      <c r="B34" s="26" t="s">
        <v>22</v>
      </c>
      <c r="C34" s="27" t="s">
        <v>78</v>
      </c>
      <c r="D34" s="271">
        <v>2870.02</v>
      </c>
      <c r="E34" s="28">
        <f t="shared" si="0"/>
        <v>2280.0714444444443</v>
      </c>
      <c r="F34" s="157"/>
      <c r="G34" s="153">
        <f t="shared" si="1"/>
        <v>589.94855555555557</v>
      </c>
      <c r="H34" s="157"/>
      <c r="I34" s="161"/>
      <c r="J34" s="477"/>
      <c r="K34" s="480"/>
      <c r="L34" s="480"/>
      <c r="M34" s="483"/>
      <c r="N34" s="477"/>
      <c r="O34" s="480"/>
      <c r="P34" s="480"/>
      <c r="Q34" s="483"/>
      <c r="T34" s="61"/>
      <c r="U34" s="69"/>
      <c r="V34" s="61"/>
    </row>
    <row r="35" spans="1:22" x14ac:dyDescent="0.25">
      <c r="A35" s="70"/>
      <c r="B35" s="26" t="s">
        <v>23</v>
      </c>
      <c r="C35" s="27" t="s">
        <v>79</v>
      </c>
      <c r="D35" s="271">
        <v>430.5</v>
      </c>
      <c r="E35" s="28">
        <f t="shared" si="0"/>
        <v>342.00833333333333</v>
      </c>
      <c r="F35" s="157"/>
      <c r="G35" s="153">
        <f t="shared" si="1"/>
        <v>88.49166666666666</v>
      </c>
      <c r="H35" s="157"/>
      <c r="I35" s="161"/>
      <c r="J35" s="477"/>
      <c r="K35" s="480"/>
      <c r="L35" s="480"/>
      <c r="M35" s="483"/>
      <c r="N35" s="477"/>
      <c r="O35" s="480"/>
      <c r="P35" s="480"/>
      <c r="Q35" s="483"/>
      <c r="T35" s="61"/>
      <c r="U35" s="69"/>
      <c r="V35" s="61"/>
    </row>
    <row r="36" spans="1:22" x14ac:dyDescent="0.25">
      <c r="A36" s="70"/>
      <c r="B36" s="26" t="s">
        <v>24</v>
      </c>
      <c r="C36" s="27" t="s">
        <v>80</v>
      </c>
      <c r="D36" s="271">
        <v>432</v>
      </c>
      <c r="E36" s="28">
        <f t="shared" si="0"/>
        <v>343.2</v>
      </c>
      <c r="F36" s="157"/>
      <c r="G36" s="153">
        <f t="shared" si="1"/>
        <v>88.8</v>
      </c>
      <c r="H36" s="157"/>
      <c r="I36" s="161"/>
      <c r="J36" s="477"/>
      <c r="K36" s="480"/>
      <c r="L36" s="480"/>
      <c r="M36" s="483"/>
      <c r="N36" s="477"/>
      <c r="O36" s="480"/>
      <c r="P36" s="480"/>
      <c r="Q36" s="483"/>
      <c r="T36" s="61"/>
      <c r="U36" s="69"/>
      <c r="V36" s="61"/>
    </row>
    <row r="37" spans="1:22" x14ac:dyDescent="0.25">
      <c r="A37" s="70"/>
      <c r="B37" s="26" t="s">
        <v>25</v>
      </c>
      <c r="C37" s="27" t="s">
        <v>81</v>
      </c>
      <c r="D37" s="271">
        <v>334</v>
      </c>
      <c r="E37" s="28">
        <f t="shared" si="0"/>
        <v>265.34444444444443</v>
      </c>
      <c r="F37" s="157"/>
      <c r="G37" s="153">
        <f t="shared" si="1"/>
        <v>68.655555555555551</v>
      </c>
      <c r="H37" s="157"/>
      <c r="I37" s="161"/>
      <c r="J37" s="477"/>
      <c r="K37" s="480"/>
      <c r="L37" s="480"/>
      <c r="M37" s="483"/>
      <c r="N37" s="477"/>
      <c r="O37" s="480"/>
      <c r="P37" s="480"/>
      <c r="Q37" s="483"/>
      <c r="T37" s="61"/>
      <c r="U37" s="69"/>
      <c r="V37" s="61"/>
    </row>
    <row r="38" spans="1:22" x14ac:dyDescent="0.25">
      <c r="A38" s="70"/>
      <c r="B38" s="26" t="s">
        <v>26</v>
      </c>
      <c r="C38" s="27" t="s">
        <v>82</v>
      </c>
      <c r="D38" s="271">
        <v>332.1</v>
      </c>
      <c r="E38" s="28">
        <f t="shared" si="0"/>
        <v>263.83500000000004</v>
      </c>
      <c r="F38" s="157"/>
      <c r="G38" s="153">
        <f t="shared" si="1"/>
        <v>68.265000000000001</v>
      </c>
      <c r="H38" s="157"/>
      <c r="I38" s="161"/>
      <c r="J38" s="477"/>
      <c r="K38" s="480"/>
      <c r="L38" s="480"/>
      <c r="M38" s="483"/>
      <c r="N38" s="477"/>
      <c r="O38" s="480"/>
      <c r="P38" s="480"/>
      <c r="Q38" s="483"/>
      <c r="T38" s="61"/>
      <c r="U38" s="69"/>
      <c r="V38" s="61"/>
    </row>
    <row r="39" spans="1:22" x14ac:dyDescent="0.25">
      <c r="A39" s="70"/>
      <c r="B39" s="26" t="s">
        <v>83</v>
      </c>
      <c r="C39" s="27" t="s">
        <v>84</v>
      </c>
      <c r="D39" s="271">
        <v>300</v>
      </c>
      <c r="E39" s="28">
        <f t="shared" si="0"/>
        <v>238.33333333333334</v>
      </c>
      <c r="F39" s="157"/>
      <c r="G39" s="153">
        <f t="shared" si="1"/>
        <v>61.666666666666671</v>
      </c>
      <c r="H39" s="157"/>
      <c r="I39" s="161"/>
      <c r="J39" s="477"/>
      <c r="K39" s="480"/>
      <c r="L39" s="480"/>
      <c r="M39" s="483"/>
      <c r="N39" s="477"/>
      <c r="O39" s="480"/>
      <c r="P39" s="480"/>
      <c r="Q39" s="483"/>
      <c r="T39" s="61"/>
      <c r="U39" s="69"/>
      <c r="V39" s="61"/>
    </row>
    <row r="40" spans="1:22" x14ac:dyDescent="0.25">
      <c r="A40" s="70"/>
      <c r="B40" s="26" t="s">
        <v>85</v>
      </c>
      <c r="C40" s="27" t="s">
        <v>86</v>
      </c>
      <c r="D40" s="271">
        <v>1446.22</v>
      </c>
      <c r="E40" s="28">
        <f t="shared" si="0"/>
        <v>1148.9414444444446</v>
      </c>
      <c r="F40" s="157"/>
      <c r="G40" s="153">
        <f t="shared" si="1"/>
        <v>297.27855555555561</v>
      </c>
      <c r="H40" s="157"/>
      <c r="I40" s="161"/>
      <c r="J40" s="477"/>
      <c r="K40" s="480"/>
      <c r="L40" s="480"/>
      <c r="M40" s="483"/>
      <c r="N40" s="477"/>
      <c r="O40" s="480"/>
      <c r="P40" s="480"/>
      <c r="Q40" s="483"/>
      <c r="T40" s="61"/>
      <c r="U40" s="69"/>
      <c r="V40" s="61"/>
    </row>
    <row r="41" spans="1:22" x14ac:dyDescent="0.25">
      <c r="A41" s="70"/>
      <c r="B41" s="26" t="s">
        <v>87</v>
      </c>
      <c r="C41" s="27" t="s">
        <v>136</v>
      </c>
      <c r="D41" s="271">
        <v>25641.94</v>
      </c>
      <c r="E41" s="28">
        <f t="shared" si="0"/>
        <v>20371.096777777777</v>
      </c>
      <c r="F41" s="157"/>
      <c r="G41" s="153">
        <f t="shared" si="1"/>
        <v>5270.8432222222218</v>
      </c>
      <c r="H41" s="157"/>
      <c r="I41" s="161"/>
      <c r="J41" s="477"/>
      <c r="K41" s="480"/>
      <c r="L41" s="480"/>
      <c r="M41" s="483"/>
      <c r="N41" s="477"/>
      <c r="O41" s="480"/>
      <c r="P41" s="480"/>
      <c r="Q41" s="483"/>
      <c r="T41" s="61"/>
      <c r="U41" s="69"/>
      <c r="V41" s="61"/>
    </row>
    <row r="42" spans="1:22" ht="30" x14ac:dyDescent="0.25">
      <c r="A42" s="70"/>
      <c r="B42" s="26" t="s">
        <v>89</v>
      </c>
      <c r="C42" s="27" t="s">
        <v>134</v>
      </c>
      <c r="D42" s="271">
        <v>1380.53</v>
      </c>
      <c r="E42" s="28">
        <f t="shared" si="0"/>
        <v>1096.7543888888888</v>
      </c>
      <c r="F42" s="157"/>
      <c r="G42" s="153">
        <f t="shared" si="1"/>
        <v>283.77561111111112</v>
      </c>
      <c r="H42" s="157"/>
      <c r="I42" s="161"/>
      <c r="J42" s="477"/>
      <c r="K42" s="480"/>
      <c r="L42" s="480"/>
      <c r="M42" s="483"/>
      <c r="N42" s="477"/>
      <c r="O42" s="480"/>
      <c r="P42" s="480"/>
      <c r="Q42" s="483"/>
      <c r="T42" s="61"/>
      <c r="U42" s="69"/>
      <c r="V42" s="61"/>
    </row>
    <row r="43" spans="1:22" x14ac:dyDescent="0.25">
      <c r="A43" s="70"/>
      <c r="B43" s="26" t="s">
        <v>27</v>
      </c>
      <c r="C43" s="27" t="s">
        <v>90</v>
      </c>
      <c r="D43" s="271">
        <v>7621.2</v>
      </c>
      <c r="E43" s="28">
        <f t="shared" si="0"/>
        <v>6054.62</v>
      </c>
      <c r="F43" s="157"/>
      <c r="G43" s="153">
        <f t="shared" si="1"/>
        <v>1566.58</v>
      </c>
      <c r="H43" s="157"/>
      <c r="I43" s="161"/>
      <c r="J43" s="477"/>
      <c r="K43" s="480"/>
      <c r="L43" s="480"/>
      <c r="M43" s="483"/>
      <c r="N43" s="477"/>
      <c r="O43" s="480"/>
      <c r="P43" s="480"/>
      <c r="Q43" s="483"/>
      <c r="T43" s="61"/>
      <c r="U43" s="69"/>
      <c r="V43" s="61"/>
    </row>
    <row r="44" spans="1:22" x14ac:dyDescent="0.25">
      <c r="A44" s="70"/>
      <c r="B44" s="26" t="s">
        <v>91</v>
      </c>
      <c r="C44" s="27" t="s">
        <v>92</v>
      </c>
      <c r="D44" s="271">
        <v>6975.33</v>
      </c>
      <c r="E44" s="28">
        <f t="shared" si="0"/>
        <v>5541.5121666666664</v>
      </c>
      <c r="F44" s="157"/>
      <c r="G44" s="153">
        <f t="shared" si="1"/>
        <v>1433.8178333333333</v>
      </c>
      <c r="H44" s="157"/>
      <c r="I44" s="161"/>
      <c r="J44" s="477"/>
      <c r="K44" s="480"/>
      <c r="L44" s="480"/>
      <c r="M44" s="483"/>
      <c r="N44" s="477"/>
      <c r="O44" s="480"/>
      <c r="P44" s="480"/>
      <c r="Q44" s="483"/>
      <c r="T44" s="61"/>
      <c r="U44" s="69"/>
      <c r="V44" s="61"/>
    </row>
    <row r="45" spans="1:22" x14ac:dyDescent="0.25">
      <c r="A45" s="70"/>
      <c r="B45" s="26" t="s">
        <v>28</v>
      </c>
      <c r="C45" s="29" t="s">
        <v>93</v>
      </c>
      <c r="D45" s="271">
        <v>2084.4</v>
      </c>
      <c r="E45" s="28">
        <f t="shared" si="0"/>
        <v>1655.94</v>
      </c>
      <c r="F45" s="157"/>
      <c r="G45" s="153">
        <f t="shared" si="1"/>
        <v>428.46</v>
      </c>
      <c r="H45" s="157"/>
      <c r="I45" s="161"/>
      <c r="J45" s="477"/>
      <c r="K45" s="480"/>
      <c r="L45" s="480"/>
      <c r="M45" s="483"/>
      <c r="N45" s="477"/>
      <c r="O45" s="480"/>
      <c r="P45" s="480"/>
      <c r="Q45" s="483"/>
      <c r="T45" s="61"/>
      <c r="U45" s="69"/>
      <c r="V45" s="61"/>
    </row>
    <row r="46" spans="1:22" x14ac:dyDescent="0.25">
      <c r="A46" s="70"/>
      <c r="B46" s="26" t="s">
        <v>29</v>
      </c>
      <c r="C46" s="29" t="s">
        <v>94</v>
      </c>
      <c r="D46" s="271">
        <v>7051.17</v>
      </c>
      <c r="E46" s="28">
        <f t="shared" si="0"/>
        <v>5601.7628333333332</v>
      </c>
      <c r="F46" s="157"/>
      <c r="G46" s="153">
        <f t="shared" si="1"/>
        <v>1449.4071666666666</v>
      </c>
      <c r="H46" s="157"/>
      <c r="I46" s="161"/>
      <c r="J46" s="477"/>
      <c r="K46" s="480"/>
      <c r="L46" s="480"/>
      <c r="M46" s="483"/>
      <c r="N46" s="477"/>
      <c r="O46" s="480"/>
      <c r="P46" s="480"/>
      <c r="Q46" s="483"/>
      <c r="T46" s="61"/>
      <c r="U46" s="69"/>
      <c r="V46" s="61"/>
    </row>
    <row r="47" spans="1:22" x14ac:dyDescent="0.25">
      <c r="A47" s="70"/>
      <c r="B47" s="26" t="s">
        <v>95</v>
      </c>
      <c r="C47" s="29" t="s">
        <v>96</v>
      </c>
      <c r="D47" s="271">
        <v>6723.17</v>
      </c>
      <c r="E47" s="28">
        <f t="shared" si="0"/>
        <v>5341.1850555555557</v>
      </c>
      <c r="F47" s="157"/>
      <c r="G47" s="153">
        <f t="shared" si="1"/>
        <v>1381.9849444444444</v>
      </c>
      <c r="H47" s="157"/>
      <c r="I47" s="161"/>
      <c r="J47" s="477"/>
      <c r="K47" s="480"/>
      <c r="L47" s="480"/>
      <c r="M47" s="483"/>
      <c r="N47" s="477"/>
      <c r="O47" s="480"/>
      <c r="P47" s="480"/>
      <c r="Q47" s="483"/>
      <c r="T47" s="61"/>
      <c r="U47" s="69"/>
      <c r="V47" s="61"/>
    </row>
    <row r="48" spans="1:22" x14ac:dyDescent="0.25">
      <c r="A48" s="70"/>
      <c r="B48" s="26" t="s">
        <v>97</v>
      </c>
      <c r="C48" s="29" t="s">
        <v>98</v>
      </c>
      <c r="D48" s="271">
        <v>286.27</v>
      </c>
      <c r="E48" s="28">
        <f t="shared" si="0"/>
        <v>227.4256111111111</v>
      </c>
      <c r="F48" s="157"/>
      <c r="G48" s="153">
        <f t="shared" si="1"/>
        <v>58.844388888888886</v>
      </c>
      <c r="H48" s="157"/>
      <c r="I48" s="161"/>
      <c r="J48" s="477"/>
      <c r="K48" s="480"/>
      <c r="L48" s="480"/>
      <c r="M48" s="483"/>
      <c r="N48" s="477"/>
      <c r="O48" s="480"/>
      <c r="P48" s="480"/>
      <c r="Q48" s="483"/>
      <c r="T48" s="61"/>
      <c r="U48" s="69"/>
      <c r="V48" s="61"/>
    </row>
    <row r="49" spans="1:22" x14ac:dyDescent="0.25">
      <c r="A49" s="70"/>
      <c r="B49" s="26" t="s">
        <v>99</v>
      </c>
      <c r="C49" s="29" t="s">
        <v>30</v>
      </c>
      <c r="D49" s="271">
        <v>2294.69</v>
      </c>
      <c r="E49" s="28">
        <f t="shared" si="0"/>
        <v>1823.0037222222222</v>
      </c>
      <c r="F49" s="157"/>
      <c r="G49" s="153">
        <f t="shared" si="1"/>
        <v>471.68627777777778</v>
      </c>
      <c r="H49" s="157"/>
      <c r="I49" s="161"/>
      <c r="J49" s="477"/>
      <c r="K49" s="480"/>
      <c r="L49" s="480"/>
      <c r="M49" s="483"/>
      <c r="N49" s="477"/>
      <c r="O49" s="480"/>
      <c r="P49" s="480"/>
      <c r="Q49" s="483"/>
      <c r="T49" s="61"/>
      <c r="U49" s="69"/>
      <c r="V49" s="61"/>
    </row>
    <row r="50" spans="1:22" x14ac:dyDescent="0.25">
      <c r="A50" s="70"/>
      <c r="B50" s="26" t="s">
        <v>100</v>
      </c>
      <c r="C50" s="29" t="s">
        <v>187</v>
      </c>
      <c r="D50" s="271">
        <f>Q11</f>
        <v>129442.88652197756</v>
      </c>
      <c r="E50" s="152">
        <f t="shared" si="0"/>
        <v>102835.18207023773</v>
      </c>
      <c r="F50" s="158"/>
      <c r="G50" s="154">
        <f t="shared" si="1"/>
        <v>26607.704451739835</v>
      </c>
      <c r="H50" s="158"/>
      <c r="I50" s="161"/>
      <c r="J50" s="478"/>
      <c r="K50" s="481"/>
      <c r="L50" s="481"/>
      <c r="M50" s="484"/>
      <c r="N50" s="478"/>
      <c r="O50" s="481"/>
      <c r="P50" s="481"/>
      <c r="Q50" s="484"/>
      <c r="T50" s="61"/>
      <c r="U50" s="69"/>
      <c r="V50" s="61"/>
    </row>
    <row r="51" spans="1:22" ht="15.75" thickBot="1" x14ac:dyDescent="0.3">
      <c r="A51" s="70"/>
      <c r="B51" s="471" t="s">
        <v>101</v>
      </c>
      <c r="C51" s="472"/>
      <c r="D51" s="165">
        <v>179635.20000000001</v>
      </c>
      <c r="E51" s="157">
        <f t="shared" si="0"/>
        <v>142710.18666666668</v>
      </c>
      <c r="F51" s="166">
        <v>58767.756666666697</v>
      </c>
      <c r="G51" s="167">
        <f>D51/$E$13*$E$11</f>
        <v>36925.013333333336</v>
      </c>
      <c r="H51" s="168">
        <v>15205.643333333301</v>
      </c>
      <c r="I51" s="156">
        <v>0</v>
      </c>
      <c r="J51" s="261">
        <f>SUM(K51:M51)</f>
        <v>135000</v>
      </c>
      <c r="K51" s="169">
        <f>K10*E10*12</f>
        <v>107250</v>
      </c>
      <c r="L51" s="169">
        <f>K11*E11*12</f>
        <v>27750</v>
      </c>
      <c r="M51" s="170">
        <f>K12*E12*12</f>
        <v>0</v>
      </c>
      <c r="N51" s="171">
        <f>J51-D51-F51-H51-I51</f>
        <v>-118608.6</v>
      </c>
      <c r="O51" s="169">
        <f>K51-E51-F51</f>
        <v>-94227.943333333373</v>
      </c>
      <c r="P51" s="169">
        <f>L51-G51-H51</f>
        <v>-24380.656666666637</v>
      </c>
      <c r="Q51" s="172">
        <f>M51-I51</f>
        <v>0</v>
      </c>
      <c r="T51" s="61"/>
      <c r="U51" s="69"/>
      <c r="V51" s="61"/>
    </row>
    <row r="52" spans="1:22" ht="30.75" customHeight="1" thickBot="1" x14ac:dyDescent="0.3">
      <c r="A52" s="70"/>
      <c r="B52" s="485" t="s">
        <v>57</v>
      </c>
      <c r="C52" s="486"/>
      <c r="D52" s="90">
        <f>D26+D51</f>
        <v>507960.17652197758</v>
      </c>
      <c r="E52" s="173">
        <f>E26+E51</f>
        <v>403546.14023690438</v>
      </c>
      <c r="F52" s="174">
        <f>F26+F51</f>
        <v>32450.165909696098</v>
      </c>
      <c r="G52" s="173">
        <f>G26+G51</f>
        <v>104414.03628507316</v>
      </c>
      <c r="H52" s="175">
        <f>H26+H51</f>
        <v>81672.528487994903</v>
      </c>
      <c r="I52" s="176">
        <f>I26</f>
        <v>25769.057724034599</v>
      </c>
      <c r="J52" s="291">
        <f>J26+J51</f>
        <v>470745.90199999994</v>
      </c>
      <c r="K52" s="173">
        <f>K26+K51</f>
        <v>387759.18199999997</v>
      </c>
      <c r="L52" s="173">
        <f>L26+L51</f>
        <v>79920</v>
      </c>
      <c r="M52" s="177">
        <f>M26+M51</f>
        <v>3066.72</v>
      </c>
      <c r="N52" s="178">
        <f>N26+N51</f>
        <v>-177106.02664370323</v>
      </c>
      <c r="O52" s="178">
        <f t="shared" ref="O52:Q52" si="2">O26+O51</f>
        <v>-48237.12414660053</v>
      </c>
      <c r="P52" s="178">
        <f t="shared" si="2"/>
        <v>-106166.56477306806</v>
      </c>
      <c r="Q52" s="179">
        <f t="shared" si="2"/>
        <v>-22702.337724034598</v>
      </c>
      <c r="T52" s="61"/>
      <c r="U52" s="71"/>
      <c r="V52" s="61"/>
    </row>
    <row r="53" spans="1:22" s="77" customFormat="1" x14ac:dyDescent="0.25">
      <c r="A53" s="72"/>
      <c r="B53" s="73"/>
      <c r="C53" s="73"/>
      <c r="D53" s="74"/>
      <c r="E53" s="71"/>
      <c r="F53" s="71"/>
      <c r="G53" s="71"/>
      <c r="H53" s="71"/>
      <c r="I53" s="71"/>
      <c r="J53" s="71"/>
      <c r="K53" s="75"/>
      <c r="L53" s="75"/>
      <c r="M53" s="75"/>
      <c r="N53" s="75"/>
      <c r="O53" s="71"/>
      <c r="P53" s="71"/>
      <c r="Q53" s="76"/>
      <c r="R53" s="61"/>
      <c r="T53" s="61"/>
      <c r="U53" s="61"/>
      <c r="V53" s="61"/>
    </row>
    <row r="54" spans="1:22" ht="15.75" x14ac:dyDescent="0.25">
      <c r="A54" s="38"/>
      <c r="C54" s="78" t="s">
        <v>135</v>
      </c>
      <c r="D54" s="373"/>
      <c r="E54" s="78"/>
      <c r="F54" s="78"/>
      <c r="G54" s="78"/>
      <c r="H54" s="78"/>
      <c r="I54" s="78"/>
      <c r="J54" s="78"/>
      <c r="K54" s="78"/>
      <c r="T54" s="61"/>
      <c r="U54" s="61"/>
      <c r="V54" s="61"/>
    </row>
    <row r="55" spans="1:22" ht="18.75" x14ac:dyDescent="0.25">
      <c r="C55" s="487" t="s">
        <v>102</v>
      </c>
      <c r="D55" s="488"/>
      <c r="E55" s="488"/>
      <c r="F55" s="488"/>
      <c r="G55" s="488"/>
      <c r="H55" s="488"/>
      <c r="I55" s="488"/>
      <c r="J55" s="488"/>
      <c r="K55" s="488"/>
      <c r="M55" s="473" t="s">
        <v>173</v>
      </c>
      <c r="N55" s="473"/>
      <c r="O55" s="473"/>
      <c r="P55" s="473"/>
      <c r="Q55" s="473"/>
      <c r="T55" s="61"/>
      <c r="U55" s="61"/>
      <c r="V55" s="61"/>
    </row>
    <row r="56" spans="1:22" x14ac:dyDescent="0.25">
      <c r="C56" s="79"/>
      <c r="D56" s="374"/>
      <c r="E56" s="79"/>
      <c r="F56" s="79"/>
      <c r="G56" s="79"/>
      <c r="H56" s="79"/>
      <c r="I56" s="79"/>
      <c r="J56" s="79"/>
      <c r="K56" s="79"/>
      <c r="M56" s="473"/>
      <c r="N56" s="473"/>
      <c r="O56" s="473"/>
      <c r="P56" s="473"/>
      <c r="Q56" s="473"/>
      <c r="T56" s="61"/>
      <c r="U56" s="61"/>
      <c r="V56" s="61"/>
    </row>
    <row r="57" spans="1:22" ht="15.75" thickBot="1" x14ac:dyDescent="0.3">
      <c r="B57" s="1"/>
      <c r="C57" s="1" t="s">
        <v>174</v>
      </c>
      <c r="D57" s="2"/>
      <c r="E57" s="2"/>
      <c r="F57" s="2"/>
      <c r="G57" s="2"/>
      <c r="H57" s="2"/>
      <c r="I57" s="2"/>
      <c r="J57" s="2"/>
      <c r="K57" s="2"/>
      <c r="L57" s="2"/>
      <c r="M57" s="474"/>
      <c r="N57" s="474"/>
      <c r="O57" s="474"/>
      <c r="P57" s="474"/>
      <c r="Q57" s="474"/>
      <c r="T57" s="61"/>
      <c r="U57" s="61"/>
      <c r="V57" s="61"/>
    </row>
    <row r="58" spans="1:22" ht="45" x14ac:dyDescent="0.25">
      <c r="B58" s="2"/>
      <c r="C58" s="435"/>
      <c r="D58" s="372" t="s">
        <v>0</v>
      </c>
      <c r="E58" s="4" t="s">
        <v>1</v>
      </c>
      <c r="F58" s="4"/>
      <c r="G58" s="497" t="s">
        <v>2</v>
      </c>
      <c r="H58" s="489"/>
      <c r="I58" s="490"/>
      <c r="J58" s="489" t="s">
        <v>59</v>
      </c>
      <c r="K58" s="490"/>
      <c r="L58" s="40"/>
      <c r="M58" s="415"/>
      <c r="N58" s="416"/>
      <c r="O58" s="416"/>
      <c r="P58" s="41" t="s">
        <v>0</v>
      </c>
      <c r="Q58" s="42" t="s">
        <v>103</v>
      </c>
      <c r="T58" s="61"/>
      <c r="U58" s="61"/>
      <c r="V58" s="61"/>
    </row>
    <row r="59" spans="1:22" ht="30.75" thickBot="1" x14ac:dyDescent="0.3">
      <c r="B59" s="2"/>
      <c r="C59" s="518"/>
      <c r="D59" s="5" t="s">
        <v>3</v>
      </c>
      <c r="E59" s="6" t="s">
        <v>4</v>
      </c>
      <c r="F59" s="6"/>
      <c r="G59" s="122" t="s">
        <v>5</v>
      </c>
      <c r="H59" s="43"/>
      <c r="I59" s="44" t="s">
        <v>6</v>
      </c>
      <c r="J59" s="43" t="s">
        <v>5</v>
      </c>
      <c r="K59" s="44" t="s">
        <v>6</v>
      </c>
      <c r="L59" s="40"/>
      <c r="M59" s="503"/>
      <c r="N59" s="504"/>
      <c r="O59" s="504"/>
      <c r="P59" s="45" t="s">
        <v>3</v>
      </c>
      <c r="Q59" s="46" t="s">
        <v>60</v>
      </c>
      <c r="T59" s="61"/>
      <c r="U59" s="61"/>
      <c r="V59" s="61"/>
    </row>
    <row r="60" spans="1:22" ht="24" customHeight="1" x14ac:dyDescent="0.25">
      <c r="B60" s="2"/>
      <c r="C60" s="182" t="s">
        <v>7</v>
      </c>
      <c r="D60" s="9">
        <v>12017.35</v>
      </c>
      <c r="E60" s="10">
        <v>143</v>
      </c>
      <c r="F60" s="10"/>
      <c r="G60" s="11" t="s">
        <v>104</v>
      </c>
      <c r="H60" s="47"/>
      <c r="I60" s="48">
        <v>161.84</v>
      </c>
      <c r="J60" s="47" t="s">
        <v>104</v>
      </c>
      <c r="K60" s="48">
        <v>140.93</v>
      </c>
      <c r="L60" s="49"/>
      <c r="M60" s="505" t="s">
        <v>63</v>
      </c>
      <c r="N60" s="506"/>
      <c r="O60" s="506"/>
      <c r="P60" s="50">
        <f>D60+D62</f>
        <v>13499.67</v>
      </c>
      <c r="Q60" s="30">
        <f>Q62/P62*P60</f>
        <v>142558.62583900098</v>
      </c>
      <c r="T60" s="61"/>
      <c r="U60" s="61"/>
      <c r="V60" s="61"/>
    </row>
    <row r="61" spans="1:22" ht="27.75" customHeight="1" x14ac:dyDescent="0.25">
      <c r="B61" s="2"/>
      <c r="C61" s="8" t="s">
        <v>64</v>
      </c>
      <c r="D61" s="51">
        <v>6357.35</v>
      </c>
      <c r="E61" s="12">
        <v>37</v>
      </c>
      <c r="F61" s="12"/>
      <c r="G61" s="52" t="s">
        <v>65</v>
      </c>
      <c r="H61" s="53"/>
      <c r="I61" s="54">
        <v>258.43</v>
      </c>
      <c r="J61" s="53" t="s">
        <v>65</v>
      </c>
      <c r="K61" s="54">
        <v>140.93</v>
      </c>
      <c r="L61" s="49"/>
      <c r="M61" s="505" t="s">
        <v>66</v>
      </c>
      <c r="N61" s="506"/>
      <c r="O61" s="506"/>
      <c r="P61" s="80">
        <v>15441</v>
      </c>
      <c r="Q61" s="81">
        <f>Q62/P62*P61</f>
        <v>163059.37416099905</v>
      </c>
      <c r="T61" s="61"/>
      <c r="U61" s="61"/>
      <c r="V61" s="61"/>
    </row>
    <row r="62" spans="1:22" ht="30.75" thickBot="1" x14ac:dyDescent="0.3">
      <c r="B62" s="2"/>
      <c r="C62" s="8" t="s">
        <v>67</v>
      </c>
      <c r="D62" s="13">
        <v>1482.32</v>
      </c>
      <c r="E62" s="12">
        <v>0</v>
      </c>
      <c r="F62" s="12"/>
      <c r="G62" s="52" t="s">
        <v>58</v>
      </c>
      <c r="H62" s="53"/>
      <c r="I62" s="54">
        <v>0</v>
      </c>
      <c r="J62" s="53" t="s">
        <v>58</v>
      </c>
      <c r="K62" s="54">
        <v>0</v>
      </c>
      <c r="L62" s="49"/>
      <c r="M62" s="507" t="s">
        <v>105</v>
      </c>
      <c r="N62" s="508"/>
      <c r="O62" s="509"/>
      <c r="P62" s="55">
        <f>SUM(P60:P61)</f>
        <v>28940.67</v>
      </c>
      <c r="Q62" s="82">
        <v>305618</v>
      </c>
      <c r="T62" s="61"/>
      <c r="U62" s="61"/>
      <c r="V62" s="61"/>
    </row>
    <row r="63" spans="1:22" ht="15.75" thickBot="1" x14ac:dyDescent="0.3">
      <c r="B63" s="2"/>
      <c r="C63" s="14" t="s">
        <v>8</v>
      </c>
      <c r="D63" s="15">
        <f>SUM(D60:D62)</f>
        <v>19857.02</v>
      </c>
      <c r="E63" s="16">
        <f>E60+E61</f>
        <v>180</v>
      </c>
      <c r="F63" s="16"/>
      <c r="G63" s="17"/>
      <c r="H63" s="56"/>
      <c r="I63" s="118"/>
      <c r="J63" s="56"/>
      <c r="K63" s="57"/>
      <c r="L63" s="49"/>
      <c r="M63" s="49"/>
      <c r="O63" s="49"/>
      <c r="P63" s="49"/>
      <c r="Q63" s="38"/>
      <c r="T63" s="61"/>
      <c r="U63" s="61"/>
      <c r="V63" s="61"/>
    </row>
    <row r="64" spans="1:22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38"/>
      <c r="P64" s="38"/>
      <c r="Q64" s="38"/>
      <c r="T64" s="61"/>
      <c r="U64" s="61"/>
      <c r="V64" s="61"/>
    </row>
    <row r="65" spans="2:2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O65" s="38"/>
      <c r="P65" s="38"/>
      <c r="Q65" s="38"/>
      <c r="T65" s="61"/>
      <c r="U65" s="61"/>
      <c r="V65" s="61"/>
    </row>
    <row r="66" spans="2:24" x14ac:dyDescent="0.25">
      <c r="B66" s="2"/>
      <c r="C66" s="18" t="s">
        <v>9</v>
      </c>
      <c r="D66" s="2"/>
      <c r="E66" s="2"/>
      <c r="F66" s="2"/>
      <c r="G66" s="2"/>
      <c r="H66" s="2"/>
      <c r="I66" s="2"/>
      <c r="J66" s="2"/>
      <c r="K66" s="2"/>
      <c r="L66" s="2"/>
      <c r="M66" s="2"/>
      <c r="T66" s="61"/>
      <c r="U66" s="61"/>
      <c r="V66" s="61"/>
    </row>
    <row r="67" spans="2:24" x14ac:dyDescent="0.25">
      <c r="B67" s="2"/>
      <c r="C67" s="18" t="s">
        <v>106</v>
      </c>
      <c r="D67" s="2"/>
      <c r="E67" s="2"/>
      <c r="F67" s="2"/>
      <c r="G67" s="2"/>
      <c r="H67" s="2"/>
      <c r="I67" s="2"/>
      <c r="J67" s="2"/>
      <c r="K67" s="2"/>
      <c r="L67" s="2"/>
      <c r="M67" s="2"/>
      <c r="T67" s="61"/>
      <c r="U67" s="61"/>
      <c r="V67" s="61"/>
    </row>
    <row r="68" spans="2:24" x14ac:dyDescent="0.25">
      <c r="B68" s="2"/>
      <c r="C68" s="18"/>
      <c r="D68" s="2"/>
      <c r="E68" s="2"/>
      <c r="F68" s="2"/>
      <c r="G68" s="2"/>
      <c r="H68" s="2"/>
      <c r="I68" s="2"/>
      <c r="J68" s="2"/>
      <c r="K68" s="2"/>
      <c r="L68" s="2"/>
      <c r="M68" s="2"/>
      <c r="T68" s="61"/>
      <c r="U68" s="61"/>
      <c r="V68" s="61"/>
    </row>
    <row r="69" spans="2:24" x14ac:dyDescent="0.2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T69" s="61"/>
      <c r="U69" s="61"/>
      <c r="V69" s="61"/>
    </row>
    <row r="70" spans="2:24" ht="33" customHeight="1" thickBot="1" x14ac:dyDescent="0.3">
      <c r="B70" s="434" t="s">
        <v>171</v>
      </c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</row>
    <row r="71" spans="2:24" ht="123" customHeight="1" x14ac:dyDescent="0.25">
      <c r="B71" s="497"/>
      <c r="C71" s="510"/>
      <c r="D71" s="447" t="s">
        <v>49</v>
      </c>
      <c r="E71" s="448"/>
      <c r="F71" s="448"/>
      <c r="G71" s="448"/>
      <c r="H71" s="515"/>
      <c r="I71" s="371" t="s">
        <v>158</v>
      </c>
      <c r="J71" s="438" t="s">
        <v>51</v>
      </c>
      <c r="K71" s="440"/>
      <c r="L71" s="438" t="s">
        <v>167</v>
      </c>
      <c r="M71" s="439"/>
      <c r="N71" s="439"/>
      <c r="O71" s="502" t="s">
        <v>239</v>
      </c>
      <c r="P71" s="440"/>
      <c r="Q71" s="491" t="s">
        <v>170</v>
      </c>
      <c r="R71" s="492"/>
      <c r="S71" s="216" t="s">
        <v>169</v>
      </c>
      <c r="T71" s="495" t="s">
        <v>233</v>
      </c>
      <c r="U71" s="495"/>
      <c r="V71" s="213" t="s">
        <v>168</v>
      </c>
      <c r="W71" s="61"/>
      <c r="X71" s="61"/>
    </row>
    <row r="72" spans="2:24" ht="158.25" x14ac:dyDescent="0.25">
      <c r="B72" s="511"/>
      <c r="C72" s="512"/>
      <c r="D72" s="150" t="s">
        <v>181</v>
      </c>
      <c r="E72" s="145" t="s">
        <v>146</v>
      </c>
      <c r="F72" s="148" t="s">
        <v>155</v>
      </c>
      <c r="G72" s="145" t="s">
        <v>147</v>
      </c>
      <c r="H72" s="148" t="s">
        <v>156</v>
      </c>
      <c r="I72" s="230" t="s">
        <v>157</v>
      </c>
      <c r="J72" s="31" t="s">
        <v>127</v>
      </c>
      <c r="K72" s="197" t="s">
        <v>128</v>
      </c>
      <c r="L72" s="150" t="s">
        <v>159</v>
      </c>
      <c r="M72" s="210" t="s">
        <v>160</v>
      </c>
      <c r="N72" s="211" t="s">
        <v>161</v>
      </c>
      <c r="O72" s="20" t="s">
        <v>129</v>
      </c>
      <c r="P72" s="198" t="s">
        <v>130</v>
      </c>
      <c r="Q72" s="238" t="s">
        <v>162</v>
      </c>
      <c r="R72" s="239" t="s">
        <v>163</v>
      </c>
      <c r="S72" s="239" t="s">
        <v>165</v>
      </c>
      <c r="T72" s="375" t="s">
        <v>166</v>
      </c>
      <c r="U72" s="375" t="s">
        <v>232</v>
      </c>
      <c r="V72" s="240" t="s">
        <v>164</v>
      </c>
      <c r="W72" s="61"/>
      <c r="X72" s="63"/>
    </row>
    <row r="73" spans="2:24" ht="15.75" thickBot="1" x14ac:dyDescent="0.3">
      <c r="B73" s="513"/>
      <c r="C73" s="514"/>
      <c r="D73" s="85">
        <v>1</v>
      </c>
      <c r="E73" s="83">
        <v>2</v>
      </c>
      <c r="F73" s="83">
        <v>3</v>
      </c>
      <c r="G73" s="83">
        <v>4</v>
      </c>
      <c r="H73" s="83">
        <v>5</v>
      </c>
      <c r="I73" s="231">
        <v>6</v>
      </c>
      <c r="J73" s="85">
        <v>7</v>
      </c>
      <c r="K73" s="184">
        <v>8</v>
      </c>
      <c r="L73" s="85">
        <v>9</v>
      </c>
      <c r="M73" s="185">
        <v>10</v>
      </c>
      <c r="N73" s="84">
        <v>11</v>
      </c>
      <c r="O73" s="83">
        <v>12</v>
      </c>
      <c r="P73" s="84">
        <v>13</v>
      </c>
      <c r="Q73" s="85">
        <v>14</v>
      </c>
      <c r="R73" s="83">
        <v>15</v>
      </c>
      <c r="S73" s="83">
        <v>16</v>
      </c>
      <c r="T73" s="83">
        <v>17</v>
      </c>
      <c r="U73" s="83">
        <v>18</v>
      </c>
      <c r="V73" s="86">
        <v>19</v>
      </c>
      <c r="W73" s="61"/>
      <c r="X73" s="64"/>
    </row>
    <row r="74" spans="2:24" x14ac:dyDescent="0.25">
      <c r="B74" s="493" t="s">
        <v>71</v>
      </c>
      <c r="C74" s="494"/>
      <c r="D74" s="190">
        <f>SUM(D75:D92)</f>
        <v>75560.320000000007</v>
      </c>
      <c r="E74" s="275">
        <f>D74/$E$13*$E$10</f>
        <v>60028.476444444452</v>
      </c>
      <c r="F74" s="191">
        <f>-O26</f>
        <v>-45990.819186732842</v>
      </c>
      <c r="G74" s="275">
        <f>D74/$E$13*$E$11</f>
        <v>15531.843555555557</v>
      </c>
      <c r="H74" s="195">
        <f>-P26</f>
        <v>81785.908106401432</v>
      </c>
      <c r="I74" s="232">
        <f>SUM(I75:I92)</f>
        <v>447089.664160999</v>
      </c>
      <c r="J74" s="236">
        <f>(D74+I74)/180*$E$60+F74</f>
        <v>369225.55711894971</v>
      </c>
      <c r="K74" s="237">
        <f>(D74+I74)/180*$E$61+H74</f>
        <v>189219.5159617179</v>
      </c>
      <c r="L74" s="208">
        <f>SUM(M74:N74)</f>
        <v>261640.24</v>
      </c>
      <c r="M74" s="204">
        <f>I60*E60*8</f>
        <v>185144.95999999999</v>
      </c>
      <c r="N74" s="205">
        <f>I61*E61*8</f>
        <v>76495.28</v>
      </c>
      <c r="O74" s="214">
        <f>J74-M74</f>
        <v>184080.59711894972</v>
      </c>
      <c r="P74" s="225">
        <f>K74-N74</f>
        <v>112724.2359617179</v>
      </c>
      <c r="Q74" s="226">
        <f>O74/E60/4</f>
        <v>321.81922573242957</v>
      </c>
      <c r="R74" s="218">
        <f>P74/E61/4</f>
        <v>761.65024298458047</v>
      </c>
      <c r="S74" s="218">
        <f>476155/180/12</f>
        <v>220.44212962962965</v>
      </c>
      <c r="T74" s="217">
        <f>(O74+378278-M81)/143/16</f>
        <v>185.26846125051222</v>
      </c>
      <c r="U74" s="218">
        <f>(P74+2*97876-N81)/37/28</f>
        <v>263.17547658252477</v>
      </c>
      <c r="V74" s="219">
        <f>(D74+I74)/180/12</f>
        <v>241.96758525972177</v>
      </c>
      <c r="W74" s="276"/>
      <c r="X74" s="71"/>
    </row>
    <row r="75" spans="2:24" x14ac:dyDescent="0.25">
      <c r="B75" s="26" t="s">
        <v>15</v>
      </c>
      <c r="C75" s="27" t="s">
        <v>72</v>
      </c>
      <c r="D75" s="87">
        <v>23935.38</v>
      </c>
      <c r="E75" s="28">
        <f>D75/$E$13*$E$10</f>
        <v>19015.329666666668</v>
      </c>
      <c r="F75" s="187"/>
      <c r="G75" s="153">
        <f t="shared" ref="G75:G93" si="3">D75/$E$13*$E$11</f>
        <v>4920.0503333333336</v>
      </c>
      <c r="H75" s="167"/>
      <c r="I75" s="233">
        <f>88000-D75</f>
        <v>64064.619999999995</v>
      </c>
      <c r="J75" s="32">
        <f t="shared" ref="J75:J92" si="4">(D75+I75)/180*$E$60+F75</f>
        <v>69911.111111111109</v>
      </c>
      <c r="K75" s="33">
        <f t="shared" ref="K75:K92" si="5">(D75+I75)/180*$E$61+H75</f>
        <v>18088.888888888891</v>
      </c>
      <c r="L75" s="209"/>
      <c r="M75" s="203"/>
      <c r="N75" s="201"/>
      <c r="O75" s="202"/>
      <c r="P75" s="202"/>
      <c r="Q75" s="227"/>
      <c r="R75" s="224"/>
      <c r="S75" s="224"/>
      <c r="T75" s="376"/>
      <c r="U75" s="377"/>
      <c r="V75" s="228"/>
      <c r="W75" s="61"/>
      <c r="X75" s="69"/>
    </row>
    <row r="76" spans="2:24" x14ac:dyDescent="0.25">
      <c r="B76" s="26" t="s">
        <v>16</v>
      </c>
      <c r="C76" s="27" t="s">
        <v>133</v>
      </c>
      <c r="D76" s="271">
        <v>1100</v>
      </c>
      <c r="E76" s="186">
        <f t="shared" ref="E76:E93" si="6">D76/$E$13*$E$10</f>
        <v>873.8888888888888</v>
      </c>
      <c r="F76" s="187"/>
      <c r="G76" s="188">
        <f t="shared" si="3"/>
        <v>226.11111111111109</v>
      </c>
      <c r="H76" s="167"/>
      <c r="I76" s="233">
        <f>10000-D76</f>
        <v>8900</v>
      </c>
      <c r="J76" s="32">
        <f t="shared" si="4"/>
        <v>7944.4444444444443</v>
      </c>
      <c r="K76" s="33">
        <f t="shared" si="5"/>
        <v>2055.5555555555557</v>
      </c>
      <c r="L76" s="209"/>
      <c r="M76" s="203"/>
      <c r="N76" s="201"/>
      <c r="O76" s="202"/>
      <c r="P76" s="202"/>
      <c r="Q76" s="227"/>
      <c r="R76" s="224"/>
      <c r="S76" s="224"/>
      <c r="T76" s="376"/>
      <c r="U76" s="377"/>
      <c r="V76" s="228"/>
      <c r="W76" s="61"/>
      <c r="X76" s="69"/>
    </row>
    <row r="77" spans="2:24" ht="28.5" customHeight="1" x14ac:dyDescent="0.25">
      <c r="B77" s="26" t="s">
        <v>17</v>
      </c>
      <c r="C77" s="27" t="s">
        <v>107</v>
      </c>
      <c r="D77" s="271">
        <v>0</v>
      </c>
      <c r="E77" s="186">
        <v>0</v>
      </c>
      <c r="F77" s="187"/>
      <c r="G77" s="188">
        <v>0</v>
      </c>
      <c r="H77" s="167"/>
      <c r="I77" s="233">
        <v>2000</v>
      </c>
      <c r="J77" s="32">
        <f t="shared" si="4"/>
        <v>1588.8888888888889</v>
      </c>
      <c r="K77" s="33">
        <f t="shared" si="5"/>
        <v>411.11111111111109</v>
      </c>
      <c r="L77" s="209"/>
      <c r="M77" s="203"/>
      <c r="N77" s="201"/>
      <c r="O77" s="202"/>
      <c r="P77" s="202"/>
      <c r="Q77" s="227"/>
      <c r="R77" s="224"/>
      <c r="S77" s="224"/>
      <c r="T77" s="461" t="s">
        <v>240</v>
      </c>
      <c r="U77" s="462"/>
      <c r="V77" s="228"/>
      <c r="W77" s="61"/>
      <c r="X77" s="69"/>
    </row>
    <row r="78" spans="2:24" x14ac:dyDescent="0.25">
      <c r="B78" s="26" t="s">
        <v>18</v>
      </c>
      <c r="C78" s="27" t="s">
        <v>73</v>
      </c>
      <c r="D78" s="271">
        <v>0</v>
      </c>
      <c r="E78" s="186">
        <f t="shared" si="6"/>
        <v>0</v>
      </c>
      <c r="F78" s="187"/>
      <c r="G78" s="188">
        <f t="shared" si="3"/>
        <v>0</v>
      </c>
      <c r="H78" s="167"/>
      <c r="I78" s="233">
        <v>5000</v>
      </c>
      <c r="J78" s="32">
        <f t="shared" si="4"/>
        <v>3972.2222222222222</v>
      </c>
      <c r="K78" s="33">
        <f t="shared" si="5"/>
        <v>1027.7777777777778</v>
      </c>
      <c r="L78" s="209"/>
      <c r="M78" s="203"/>
      <c r="N78" s="201"/>
      <c r="O78" s="202"/>
      <c r="P78" s="202"/>
      <c r="Q78" s="227"/>
      <c r="R78" s="224"/>
      <c r="S78" s="224"/>
      <c r="T78" s="463"/>
      <c r="U78" s="464"/>
      <c r="V78" s="228"/>
      <c r="W78" s="61"/>
      <c r="X78" s="69"/>
    </row>
    <row r="79" spans="2:24" x14ac:dyDescent="0.25">
      <c r="B79" s="26" t="s">
        <v>19</v>
      </c>
      <c r="C79" s="27" t="s">
        <v>74</v>
      </c>
      <c r="D79" s="271">
        <f>3*1798.2</f>
        <v>5394.6</v>
      </c>
      <c r="E79" s="186">
        <f t="shared" si="6"/>
        <v>4285.71</v>
      </c>
      <c r="F79" s="187"/>
      <c r="G79" s="188">
        <f t="shared" si="3"/>
        <v>1108.8900000000001</v>
      </c>
      <c r="H79" s="167"/>
      <c r="I79" s="233">
        <f>26492-D79</f>
        <v>21097.4</v>
      </c>
      <c r="J79" s="32">
        <f t="shared" si="4"/>
        <v>21046.422222222223</v>
      </c>
      <c r="K79" s="33">
        <f t="shared" si="5"/>
        <v>5445.5777777777776</v>
      </c>
      <c r="L79" s="209"/>
      <c r="M79" s="203"/>
      <c r="N79" s="201"/>
      <c r="O79" s="202"/>
      <c r="P79" s="202"/>
      <c r="Q79" s="227"/>
      <c r="R79" s="224"/>
      <c r="S79" s="224"/>
      <c r="T79" s="463"/>
      <c r="U79" s="464"/>
      <c r="V79" s="228"/>
      <c r="W79" s="61"/>
      <c r="X79" s="69"/>
    </row>
    <row r="80" spans="2:24" ht="48.75" customHeight="1" x14ac:dyDescent="0.25">
      <c r="B80" s="26" t="s">
        <v>20</v>
      </c>
      <c r="C80" s="27" t="s">
        <v>34</v>
      </c>
      <c r="D80" s="271">
        <v>3185</v>
      </c>
      <c r="E80" s="186">
        <f t="shared" si="6"/>
        <v>2530.3055555555552</v>
      </c>
      <c r="F80" s="187"/>
      <c r="G80" s="188">
        <f t="shared" si="3"/>
        <v>654.69444444444434</v>
      </c>
      <c r="H80" s="167"/>
      <c r="I80" s="233">
        <f>9555-D80</f>
        <v>6370</v>
      </c>
      <c r="J80" s="32">
        <f t="shared" si="4"/>
        <v>7590.916666666667</v>
      </c>
      <c r="K80" s="33">
        <f t="shared" si="5"/>
        <v>1964.0833333333335</v>
      </c>
      <c r="L80" s="516" t="s">
        <v>175</v>
      </c>
      <c r="M80" s="517"/>
      <c r="N80" s="517"/>
      <c r="O80" s="202"/>
      <c r="P80" s="202"/>
      <c r="Q80" s="227"/>
      <c r="R80" s="224"/>
      <c r="S80" s="224"/>
      <c r="T80" s="463"/>
      <c r="U80" s="464"/>
      <c r="V80" s="228"/>
      <c r="W80" s="61"/>
      <c r="X80" s="69"/>
    </row>
    <row r="81" spans="2:24" x14ac:dyDescent="0.25">
      <c r="B81" s="26" t="s">
        <v>21</v>
      </c>
      <c r="C81" s="27" t="s">
        <v>116</v>
      </c>
      <c r="D81" s="271">
        <v>18819</v>
      </c>
      <c r="E81" s="186">
        <f t="shared" si="6"/>
        <v>14950.65</v>
      </c>
      <c r="F81" s="187"/>
      <c r="G81" s="188">
        <f t="shared" si="3"/>
        <v>3868.35</v>
      </c>
      <c r="H81" s="167"/>
      <c r="I81" s="233">
        <f>130000-D81</f>
        <v>111181</v>
      </c>
      <c r="J81" s="32">
        <f t="shared" si="4"/>
        <v>103277.77777777777</v>
      </c>
      <c r="K81" s="33">
        <f t="shared" si="5"/>
        <v>26722.222222222219</v>
      </c>
      <c r="L81" s="212">
        <v>174290.8</v>
      </c>
      <c r="M81" s="183">
        <f>L81/180*143</f>
        <v>138464.35777777777</v>
      </c>
      <c r="N81" s="199">
        <f>L81/180*37</f>
        <v>35826.44222222222</v>
      </c>
      <c r="O81" s="215"/>
      <c r="P81" s="215"/>
      <c r="Q81" s="227"/>
      <c r="R81" s="224"/>
      <c r="S81" s="224"/>
      <c r="T81" s="463"/>
      <c r="U81" s="464"/>
      <c r="V81" s="228"/>
      <c r="W81" s="61"/>
      <c r="X81" s="69"/>
    </row>
    <row r="82" spans="2:24" x14ac:dyDescent="0.25">
      <c r="B82" s="26" t="s">
        <v>22</v>
      </c>
      <c r="C82" s="27" t="s">
        <v>108</v>
      </c>
      <c r="D82" s="271">
        <v>3075</v>
      </c>
      <c r="E82" s="186">
        <f t="shared" si="6"/>
        <v>2442.9166666666665</v>
      </c>
      <c r="F82" s="187"/>
      <c r="G82" s="188">
        <f t="shared" si="3"/>
        <v>632.08333333333326</v>
      </c>
      <c r="H82" s="167"/>
      <c r="I82" s="233">
        <f>10000-D82</f>
        <v>6925</v>
      </c>
      <c r="J82" s="32">
        <f t="shared" si="4"/>
        <v>7944.4444444444443</v>
      </c>
      <c r="K82" s="33">
        <f t="shared" si="5"/>
        <v>2055.5555555555557</v>
      </c>
      <c r="L82" s="209"/>
      <c r="M82" s="203"/>
      <c r="N82" s="201"/>
      <c r="O82" s="215"/>
      <c r="P82" s="215"/>
      <c r="Q82" s="227"/>
      <c r="R82" s="224"/>
      <c r="S82" s="224"/>
      <c r="T82" s="463"/>
      <c r="U82" s="464"/>
      <c r="V82" s="228"/>
      <c r="W82" s="61"/>
      <c r="X82" s="69"/>
    </row>
    <row r="83" spans="2:24" ht="30" x14ac:dyDescent="0.25">
      <c r="B83" s="26" t="s">
        <v>23</v>
      </c>
      <c r="C83" s="27" t="s">
        <v>88</v>
      </c>
      <c r="D83" s="271">
        <v>7574.41</v>
      </c>
      <c r="E83" s="186">
        <f t="shared" si="6"/>
        <v>6017.4479444444441</v>
      </c>
      <c r="F83" s="187"/>
      <c r="G83" s="188">
        <f t="shared" si="3"/>
        <v>1556.9620555555555</v>
      </c>
      <c r="H83" s="167"/>
      <c r="I83" s="233">
        <f>26000-D83</f>
        <v>18425.59</v>
      </c>
      <c r="J83" s="32">
        <f t="shared" si="4"/>
        <v>20655.555555555558</v>
      </c>
      <c r="K83" s="33">
        <f t="shared" si="5"/>
        <v>5344.4444444444453</v>
      </c>
      <c r="L83" s="209"/>
      <c r="M83" s="203"/>
      <c r="N83" s="201"/>
      <c r="O83" s="215"/>
      <c r="P83" s="215"/>
      <c r="Q83" s="227"/>
      <c r="R83" s="224"/>
      <c r="S83" s="224"/>
      <c r="T83" s="463"/>
      <c r="U83" s="464"/>
      <c r="V83" s="228"/>
      <c r="W83" s="61"/>
      <c r="X83" s="69"/>
    </row>
    <row r="84" spans="2:24" ht="30" x14ac:dyDescent="0.25">
      <c r="B84" s="26" t="s">
        <v>24</v>
      </c>
      <c r="C84" s="27" t="s">
        <v>109</v>
      </c>
      <c r="D84" s="271">
        <v>0</v>
      </c>
      <c r="E84" s="186">
        <f t="shared" si="6"/>
        <v>0</v>
      </c>
      <c r="F84" s="187"/>
      <c r="G84" s="188">
        <f t="shared" si="3"/>
        <v>0</v>
      </c>
      <c r="H84" s="167"/>
      <c r="I84" s="233">
        <v>1000</v>
      </c>
      <c r="J84" s="32">
        <f t="shared" si="4"/>
        <v>794.44444444444446</v>
      </c>
      <c r="K84" s="33">
        <f t="shared" si="5"/>
        <v>205.55555555555554</v>
      </c>
      <c r="L84" s="209"/>
      <c r="M84" s="203"/>
      <c r="N84" s="201"/>
      <c r="O84" s="215"/>
      <c r="P84" s="215"/>
      <c r="Q84" s="227"/>
      <c r="R84" s="224"/>
      <c r="S84" s="224"/>
      <c r="T84" s="463"/>
      <c r="U84" s="464"/>
      <c r="V84" s="228"/>
      <c r="W84" s="61"/>
      <c r="X84" s="71"/>
    </row>
    <row r="85" spans="2:24" x14ac:dyDescent="0.25">
      <c r="B85" s="26" t="s">
        <v>25</v>
      </c>
      <c r="C85" s="27" t="s">
        <v>110</v>
      </c>
      <c r="D85" s="271">
        <v>0</v>
      </c>
      <c r="E85" s="186">
        <f t="shared" si="6"/>
        <v>0</v>
      </c>
      <c r="F85" s="187"/>
      <c r="G85" s="188">
        <f t="shared" si="3"/>
        <v>0</v>
      </c>
      <c r="H85" s="167"/>
      <c r="I85" s="233">
        <v>1000</v>
      </c>
      <c r="J85" s="32">
        <f t="shared" si="4"/>
        <v>794.44444444444446</v>
      </c>
      <c r="K85" s="33">
        <f t="shared" si="5"/>
        <v>205.55555555555554</v>
      </c>
      <c r="L85" s="209"/>
      <c r="M85" s="203"/>
      <c r="N85" s="201"/>
      <c r="O85" s="215"/>
      <c r="P85" s="215"/>
      <c r="Q85" s="227"/>
      <c r="R85" s="224"/>
      <c r="S85" s="224"/>
      <c r="T85" s="463"/>
      <c r="U85" s="464"/>
      <c r="V85" s="228"/>
      <c r="W85" s="61"/>
      <c r="X85" s="71"/>
    </row>
    <row r="86" spans="2:24" ht="31.5" x14ac:dyDescent="0.25">
      <c r="B86" s="26" t="s">
        <v>26</v>
      </c>
      <c r="C86" s="189" t="s">
        <v>153</v>
      </c>
      <c r="D86" s="271">
        <v>0</v>
      </c>
      <c r="E86" s="186">
        <f t="shared" si="6"/>
        <v>0</v>
      </c>
      <c r="F86" s="187"/>
      <c r="G86" s="188">
        <f t="shared" si="3"/>
        <v>0</v>
      </c>
      <c r="H86" s="167"/>
      <c r="I86" s="233">
        <v>24000</v>
      </c>
      <c r="J86" s="32">
        <f t="shared" ref="J86" si="7">(D86+I86)/180*$E$60+F86</f>
        <v>19066.666666666668</v>
      </c>
      <c r="K86" s="33">
        <f t="shared" ref="K86" si="8">(D86+I86)/180*$E$61+H86</f>
        <v>4933.3333333333339</v>
      </c>
      <c r="L86" s="209"/>
      <c r="M86" s="203"/>
      <c r="N86" s="201"/>
      <c r="O86" s="215"/>
      <c r="P86" s="215"/>
      <c r="Q86" s="227"/>
      <c r="R86" s="224"/>
      <c r="S86" s="224"/>
      <c r="T86" s="465"/>
      <c r="U86" s="466"/>
      <c r="V86" s="228"/>
      <c r="W86" s="61"/>
      <c r="X86" s="61"/>
    </row>
    <row r="87" spans="2:24" x14ac:dyDescent="0.25">
      <c r="B87" s="26" t="s">
        <v>83</v>
      </c>
      <c r="C87" s="29" t="s">
        <v>93</v>
      </c>
      <c r="D87" s="271">
        <v>313.2</v>
      </c>
      <c r="E87" s="186">
        <f>D87/$E$13*$E$10</f>
        <v>248.82</v>
      </c>
      <c r="F87" s="187"/>
      <c r="G87" s="188">
        <f t="shared" si="3"/>
        <v>64.38</v>
      </c>
      <c r="H87" s="167"/>
      <c r="I87" s="233">
        <v>0</v>
      </c>
      <c r="J87" s="32">
        <f t="shared" ref="J87:J90" si="9">(D87+I87)/180*$E$60+F87</f>
        <v>248.82</v>
      </c>
      <c r="K87" s="33">
        <f t="shared" ref="K87:K90" si="10">(D87+I87)/180*$E$61+H87</f>
        <v>64.38</v>
      </c>
      <c r="L87" s="209"/>
      <c r="M87" s="203"/>
      <c r="N87" s="201"/>
      <c r="O87" s="215"/>
      <c r="P87" s="215"/>
      <c r="Q87" s="227"/>
      <c r="R87" s="224"/>
      <c r="S87" s="224"/>
      <c r="T87" s="376"/>
      <c r="U87" s="377"/>
      <c r="V87" s="228"/>
      <c r="W87" s="61"/>
      <c r="X87" s="61"/>
    </row>
    <row r="88" spans="2:24" x14ac:dyDescent="0.25">
      <c r="B88" s="26" t="s">
        <v>85</v>
      </c>
      <c r="C88" s="29" t="s">
        <v>94</v>
      </c>
      <c r="D88" s="271">
        <f>2486.12+1399.58+280.28</f>
        <v>4165.9799999999996</v>
      </c>
      <c r="E88" s="186">
        <f t="shared" si="6"/>
        <v>3309.6396666666665</v>
      </c>
      <c r="F88" s="187"/>
      <c r="G88" s="188">
        <f t="shared" si="3"/>
        <v>856.34033333333332</v>
      </c>
      <c r="H88" s="167"/>
      <c r="I88" s="233">
        <v>0</v>
      </c>
      <c r="J88" s="32">
        <f t="shared" si="9"/>
        <v>3309.6396666666665</v>
      </c>
      <c r="K88" s="33">
        <f t="shared" si="10"/>
        <v>856.34033333333332</v>
      </c>
      <c r="L88" s="209"/>
      <c r="M88" s="203"/>
      <c r="N88" s="201"/>
      <c r="O88" s="215"/>
      <c r="P88" s="215"/>
      <c r="Q88" s="227"/>
      <c r="R88" s="224"/>
      <c r="S88" s="224"/>
      <c r="T88" s="376"/>
      <c r="U88" s="377"/>
      <c r="V88" s="228"/>
      <c r="W88" s="61"/>
      <c r="X88" s="61"/>
    </row>
    <row r="89" spans="2:24" x14ac:dyDescent="0.25">
      <c r="B89" s="26" t="s">
        <v>87</v>
      </c>
      <c r="C89" s="29" t="s">
        <v>96</v>
      </c>
      <c r="D89" s="271">
        <f>3*570.74</f>
        <v>1712.22</v>
      </c>
      <c r="E89" s="186">
        <f t="shared" si="6"/>
        <v>1360.2636666666667</v>
      </c>
      <c r="F89" s="187"/>
      <c r="G89" s="188">
        <f t="shared" si="3"/>
        <v>351.95633333333336</v>
      </c>
      <c r="H89" s="167"/>
      <c r="I89" s="233">
        <v>0</v>
      </c>
      <c r="J89" s="32">
        <f t="shared" si="9"/>
        <v>1360.2636666666667</v>
      </c>
      <c r="K89" s="33">
        <f t="shared" si="10"/>
        <v>351.95633333333336</v>
      </c>
      <c r="L89" s="209"/>
      <c r="M89" s="203"/>
      <c r="N89" s="201"/>
      <c r="O89" s="215"/>
      <c r="P89" s="215"/>
      <c r="Q89" s="227"/>
      <c r="R89" s="224"/>
      <c r="S89" s="224"/>
      <c r="T89" s="376"/>
      <c r="U89" s="377"/>
      <c r="V89" s="228"/>
      <c r="W89" s="61"/>
      <c r="X89" s="61"/>
    </row>
    <row r="90" spans="2:24" x14ac:dyDescent="0.25">
      <c r="B90" s="26" t="s">
        <v>89</v>
      </c>
      <c r="C90" s="88" t="s">
        <v>111</v>
      </c>
      <c r="D90" s="271">
        <v>5552.21</v>
      </c>
      <c r="E90" s="186">
        <f t="shared" si="6"/>
        <v>4410.9223888888891</v>
      </c>
      <c r="F90" s="187"/>
      <c r="G90" s="188">
        <f t="shared" si="3"/>
        <v>1141.2876111111111</v>
      </c>
      <c r="H90" s="167"/>
      <c r="I90" s="233">
        <v>0</v>
      </c>
      <c r="J90" s="32">
        <f t="shared" si="9"/>
        <v>4410.9223888888891</v>
      </c>
      <c r="K90" s="33">
        <f t="shared" si="10"/>
        <v>1141.2876111111111</v>
      </c>
      <c r="L90" s="209"/>
      <c r="M90" s="203"/>
      <c r="N90" s="201"/>
      <c r="O90" s="215"/>
      <c r="P90" s="215"/>
      <c r="Q90" s="227"/>
      <c r="R90" s="224"/>
      <c r="S90" s="224"/>
      <c r="T90" s="376"/>
      <c r="U90" s="377"/>
      <c r="V90" s="228"/>
      <c r="W90" s="61"/>
      <c r="X90" s="61"/>
    </row>
    <row r="91" spans="2:24" x14ac:dyDescent="0.25">
      <c r="B91" s="26" t="s">
        <v>27</v>
      </c>
      <c r="C91" s="88" t="s">
        <v>115</v>
      </c>
      <c r="D91" s="271">
        <f>430.5+7+295.82</f>
        <v>733.31999999999994</v>
      </c>
      <c r="E91" s="186">
        <f t="shared" si="6"/>
        <v>582.58199999999999</v>
      </c>
      <c r="F91" s="187"/>
      <c r="G91" s="188">
        <f t="shared" si="3"/>
        <v>150.738</v>
      </c>
      <c r="H91" s="167"/>
      <c r="I91" s="233">
        <f>14800-D91</f>
        <v>14066.68</v>
      </c>
      <c r="J91" s="32">
        <f t="shared" si="4"/>
        <v>11757.777777777779</v>
      </c>
      <c r="K91" s="33">
        <f t="shared" si="5"/>
        <v>3042.2222222222226</v>
      </c>
      <c r="L91" s="209"/>
      <c r="M91" s="203"/>
      <c r="N91" s="201"/>
      <c r="O91" s="215"/>
      <c r="P91" s="215"/>
      <c r="Q91" s="227"/>
      <c r="R91" s="224"/>
      <c r="S91" s="224"/>
      <c r="T91" s="376"/>
      <c r="U91" s="377"/>
      <c r="V91" s="228"/>
      <c r="W91" s="61"/>
      <c r="X91" s="61"/>
    </row>
    <row r="92" spans="2:24" x14ac:dyDescent="0.25">
      <c r="B92" s="26" t="s">
        <v>91</v>
      </c>
      <c r="C92" s="29" t="s">
        <v>31</v>
      </c>
      <c r="D92" s="89">
        <v>0</v>
      </c>
      <c r="E92" s="186">
        <f t="shared" si="6"/>
        <v>0</v>
      </c>
      <c r="F92" s="187"/>
      <c r="G92" s="188">
        <f t="shared" si="3"/>
        <v>0</v>
      </c>
      <c r="H92" s="167"/>
      <c r="I92" s="234">
        <f>Q61</f>
        <v>163059.37416099905</v>
      </c>
      <c r="J92" s="32">
        <f t="shared" si="4"/>
        <v>129541.61391679369</v>
      </c>
      <c r="K92" s="33">
        <f t="shared" si="5"/>
        <v>33517.760244205361</v>
      </c>
      <c r="L92" s="209"/>
      <c r="M92" s="203"/>
      <c r="N92" s="201"/>
      <c r="O92" s="215"/>
      <c r="P92" s="215"/>
      <c r="Q92" s="227"/>
      <c r="R92" s="224"/>
      <c r="S92" s="224"/>
      <c r="T92" s="376"/>
      <c r="U92" s="377"/>
      <c r="V92" s="228"/>
      <c r="W92" s="61"/>
      <c r="X92" s="61"/>
    </row>
    <row r="93" spans="2:24" ht="15.75" thickBot="1" x14ac:dyDescent="0.3">
      <c r="B93" s="471" t="s">
        <v>101</v>
      </c>
      <c r="C93" s="472"/>
      <c r="D93" s="165">
        <v>16918.560000000001</v>
      </c>
      <c r="E93" s="192">
        <f t="shared" si="6"/>
        <v>13440.856</v>
      </c>
      <c r="F93" s="193">
        <f>-O51</f>
        <v>94227.943333333373</v>
      </c>
      <c r="G93" s="192">
        <f t="shared" si="3"/>
        <v>3477.7040000000002</v>
      </c>
      <c r="H93" s="196">
        <f>-P51</f>
        <v>24380.656666666637</v>
      </c>
      <c r="I93" s="235">
        <v>0</v>
      </c>
      <c r="J93" s="171">
        <f>(D93+I93)/180*E60+F93</f>
        <v>107668.79933333337</v>
      </c>
      <c r="K93" s="194">
        <f>(D93+I93)/180*E61+H93</f>
        <v>27858.360666666638</v>
      </c>
      <c r="L93" s="200">
        <f>SUM(M93:N93)</f>
        <v>202939.2</v>
      </c>
      <c r="M93" s="206">
        <f>K60*E60*8</f>
        <v>161223.92000000001</v>
      </c>
      <c r="N93" s="207">
        <f>K61*E61*8</f>
        <v>41715.279999999999</v>
      </c>
      <c r="O93" s="158">
        <f>J93-M93</f>
        <v>-53555.12066666664</v>
      </c>
      <c r="P93" s="159">
        <f>K93-N93</f>
        <v>-13856.919333333361</v>
      </c>
      <c r="Q93" s="229">
        <f>O93/E10/4</f>
        <v>-93.627833333333285</v>
      </c>
      <c r="R93" s="221">
        <f>P93/E61/4</f>
        <v>-93.627833333333513</v>
      </c>
      <c r="S93" s="221">
        <v>0</v>
      </c>
      <c r="T93" s="220">
        <f>O93/143/16</f>
        <v>-23.406958333333321</v>
      </c>
      <c r="U93" s="221">
        <f>P93/37/28</f>
        <v>-13.375404761904788</v>
      </c>
      <c r="V93" s="222">
        <f>(D93+I93)/180/12</f>
        <v>7.8326666666666673</v>
      </c>
      <c r="W93" s="61"/>
      <c r="X93" s="61"/>
    </row>
    <row r="94" spans="2:24" ht="26.25" customHeight="1" thickBot="1" x14ac:dyDescent="0.3">
      <c r="B94" s="485" t="s">
        <v>57</v>
      </c>
      <c r="C94" s="486"/>
      <c r="D94" s="241">
        <f>D74+D93</f>
        <v>92478.88</v>
      </c>
      <c r="E94" s="143">
        <f t="shared" ref="E94:K94" si="11">E74+E93</f>
        <v>73469.332444444444</v>
      </c>
      <c r="F94" s="242">
        <f>F74+F93</f>
        <v>48237.12414660053</v>
      </c>
      <c r="G94" s="143">
        <f t="shared" si="11"/>
        <v>19009.547555555557</v>
      </c>
      <c r="H94" s="242">
        <f>H74+H93</f>
        <v>106166.56477306806</v>
      </c>
      <c r="I94" s="243">
        <f t="shared" si="11"/>
        <v>447089.664160999</v>
      </c>
      <c r="J94" s="244">
        <f t="shared" si="11"/>
        <v>476894.3564522831</v>
      </c>
      <c r="K94" s="132">
        <f t="shared" si="11"/>
        <v>217077.87662838455</v>
      </c>
      <c r="L94" s="245">
        <f>L74+L93</f>
        <v>464579.44</v>
      </c>
      <c r="M94" s="143">
        <f t="shared" ref="M94:U94" si="12">M74+M93</f>
        <v>346368.88</v>
      </c>
      <c r="N94" s="246">
        <f t="shared" si="12"/>
        <v>118210.56</v>
      </c>
      <c r="O94" s="242">
        <f t="shared" si="12"/>
        <v>130525.47645228308</v>
      </c>
      <c r="P94" s="243">
        <f t="shared" si="12"/>
        <v>98867.316628384549</v>
      </c>
      <c r="Q94" s="378">
        <f t="shared" si="12"/>
        <v>228.19139239909629</v>
      </c>
      <c r="R94" s="378">
        <f t="shared" si="12"/>
        <v>668.02240965124702</v>
      </c>
      <c r="S94" s="379">
        <f t="shared" si="12"/>
        <v>220.44212962962965</v>
      </c>
      <c r="T94" s="382">
        <f t="shared" si="12"/>
        <v>161.86150291717888</v>
      </c>
      <c r="U94" s="383">
        <f t="shared" si="12"/>
        <v>249.80007182061999</v>
      </c>
      <c r="V94" s="247">
        <f t="shared" ref="V94" si="13">V74+V93</f>
        <v>249.80025192638843</v>
      </c>
      <c r="W94" s="61"/>
      <c r="X94" s="61"/>
    </row>
    <row r="95" spans="2:24" ht="24" customHeight="1" x14ac:dyDescent="0.25">
      <c r="L95" s="38"/>
      <c r="M95" s="38"/>
      <c r="N95" s="61"/>
      <c r="O95" s="61"/>
      <c r="S95" s="61"/>
      <c r="T95" s="61"/>
      <c r="U95" s="61"/>
    </row>
    <row r="96" spans="2:24" hidden="1" x14ac:dyDescent="0.25"/>
  </sheetData>
  <sheetProtection sheet="1" objects="1" scenarios="1"/>
  <mergeCells count="47">
    <mergeCell ref="B93:C93"/>
    <mergeCell ref="B94:C94"/>
    <mergeCell ref="M58:O59"/>
    <mergeCell ref="M60:O60"/>
    <mergeCell ref="M61:O61"/>
    <mergeCell ref="M62:O62"/>
    <mergeCell ref="B70:Q70"/>
    <mergeCell ref="B71:C73"/>
    <mergeCell ref="D71:H71"/>
    <mergeCell ref="J71:K71"/>
    <mergeCell ref="L71:N71"/>
    <mergeCell ref="O71:P71"/>
    <mergeCell ref="L80:N80"/>
    <mergeCell ref="C58:C59"/>
    <mergeCell ref="G58:I58"/>
    <mergeCell ref="A1:N1"/>
    <mergeCell ref="C8:C9"/>
    <mergeCell ref="G8:I8"/>
    <mergeCell ref="J8:K8"/>
    <mergeCell ref="M8:O9"/>
    <mergeCell ref="A2:N2"/>
    <mergeCell ref="J27:J50"/>
    <mergeCell ref="K27:K50"/>
    <mergeCell ref="L27:L50"/>
    <mergeCell ref="M27:M50"/>
    <mergeCell ref="N27:N50"/>
    <mergeCell ref="M10:O10"/>
    <mergeCell ref="M11:O11"/>
    <mergeCell ref="M12:O12"/>
    <mergeCell ref="B22:Q22"/>
    <mergeCell ref="B23:C25"/>
    <mergeCell ref="D23:I23"/>
    <mergeCell ref="J23:M23"/>
    <mergeCell ref="T77:U86"/>
    <mergeCell ref="N23:Q23"/>
    <mergeCell ref="B26:C26"/>
    <mergeCell ref="B51:C51"/>
    <mergeCell ref="M55:Q57"/>
    <mergeCell ref="O27:O50"/>
    <mergeCell ref="P27:P50"/>
    <mergeCell ref="Q27:Q50"/>
    <mergeCell ref="B52:C52"/>
    <mergeCell ref="C55:K55"/>
    <mergeCell ref="J58:K58"/>
    <mergeCell ref="Q71:R71"/>
    <mergeCell ref="B74:C74"/>
    <mergeCell ref="T71:U71"/>
  </mergeCells>
  <pageMargins left="0.7" right="0.7" top="0.75" bottom="0.75" header="0.3" footer="0.3"/>
  <pageSetup paperSize="9" scale="41" orientation="landscape" r:id="rId1"/>
  <rowBreaks count="1" manualBreakCount="1">
    <brk id="55" max="22" man="1"/>
  </rowBreaks>
  <ignoredErrors>
    <ignoredError sqref="I5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T14"/>
  <sheetViews>
    <sheetView workbookViewId="0">
      <selection activeCell="H9" sqref="H9"/>
    </sheetView>
  </sheetViews>
  <sheetFormatPr defaultRowHeight="15" x14ac:dyDescent="0.25"/>
  <cols>
    <col min="5" max="5" width="30.42578125" customWidth="1"/>
    <col min="6" max="6" width="14.7109375" customWidth="1"/>
    <col min="7" max="7" width="22.85546875" customWidth="1"/>
    <col min="8" max="8" width="17.5703125" customWidth="1"/>
  </cols>
  <sheetData>
    <row r="3" spans="5:20" ht="97.5" customHeight="1" x14ac:dyDescent="0.25">
      <c r="E3" s="434" t="s">
        <v>177</v>
      </c>
      <c r="F3" s="434"/>
      <c r="G3" s="434"/>
      <c r="H3" s="434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5:20" ht="15.75" thickBot="1" x14ac:dyDescent="0.3"/>
    <row r="5" spans="5:20" ht="112.5" customHeight="1" x14ac:dyDescent="0.25">
      <c r="E5" s="108" t="s">
        <v>120</v>
      </c>
      <c r="F5" s="104" t="s">
        <v>123</v>
      </c>
      <c r="G5" s="97" t="s">
        <v>124</v>
      </c>
      <c r="H5" s="98" t="s">
        <v>176</v>
      </c>
    </row>
    <row r="6" spans="5:20" ht="14.25" customHeight="1" thickBot="1" x14ac:dyDescent="0.3">
      <c r="E6" s="109"/>
      <c r="F6" s="105"/>
      <c r="G6" s="93"/>
      <c r="H6" s="99" t="s">
        <v>179</v>
      </c>
    </row>
    <row r="7" spans="5:20" ht="15.75" customHeight="1" thickBot="1" x14ac:dyDescent="0.3">
      <c r="E7" s="110"/>
      <c r="F7" s="106">
        <v>1</v>
      </c>
      <c r="G7" s="100">
        <v>2</v>
      </c>
      <c r="H7" s="101">
        <v>3</v>
      </c>
    </row>
    <row r="8" spans="5:20" ht="30" x14ac:dyDescent="0.25">
      <c r="E8" s="111" t="s">
        <v>121</v>
      </c>
      <c r="F8" s="248">
        <v>11651</v>
      </c>
      <c r="G8" s="96">
        <v>12</v>
      </c>
      <c r="H8" s="102">
        <f>F8/G8/143</f>
        <v>6.7896270396270397</v>
      </c>
    </row>
    <row r="9" spans="5:20" ht="30.75" thickBot="1" x14ac:dyDescent="0.3">
      <c r="E9" s="109" t="s">
        <v>122</v>
      </c>
      <c r="F9" s="249">
        <v>12000</v>
      </c>
      <c r="G9" s="93">
        <v>60</v>
      </c>
      <c r="H9" s="103">
        <f>F9/G9/143</f>
        <v>1.3986013986013985</v>
      </c>
    </row>
    <row r="10" spans="5:20" ht="15.75" thickBot="1" x14ac:dyDescent="0.3">
      <c r="E10" s="112" t="s">
        <v>125</v>
      </c>
      <c r="F10" s="107"/>
      <c r="G10" s="94"/>
      <c r="H10" s="95">
        <f>SUM(H8:H9)</f>
        <v>8.1882284382284389</v>
      </c>
    </row>
    <row r="14" spans="5:20" x14ac:dyDescent="0.25">
      <c r="E14" s="250" t="s">
        <v>180</v>
      </c>
    </row>
  </sheetData>
  <sheetProtection sheet="1" objects="1" scenarios="1"/>
  <mergeCells count="1">
    <mergeCell ref="E3:H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Nieruchomości wspólne budynków</vt:lpstr>
      <vt:lpstr>Tereny</vt:lpstr>
      <vt:lpstr>Lokale mieszkalne</vt:lpstr>
      <vt:lpstr>Tereny!Obszar_wydruku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2020-05-19T20:01:49Z</cp:lastPrinted>
  <dcterms:created xsi:type="dcterms:W3CDTF">2020-04-09T05:23:58Z</dcterms:created>
  <dcterms:modified xsi:type="dcterms:W3CDTF">2020-05-24T14:21:59Z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